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9D0B70EF-684C-46D6-96D9-9B4E3CB1D46B}" xr6:coauthVersionLast="37" xr6:coauthVersionMax="47" xr10:uidLastSave="{00000000-0000-0000-0000-000000000000}"/>
  <bookViews>
    <workbookView xWindow="0" yWindow="0" windowWidth="24000" windowHeight="95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O651" i="22" s="1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O648" i="22" s="1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O332" i="22"/>
  <c r="N330" i="22"/>
  <c r="M330" i="22"/>
  <c r="L330" i="22"/>
  <c r="O330" i="22" s="1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M312" i="22" s="1"/>
  <c r="O313" i="22"/>
  <c r="P311" i="22"/>
  <c r="N311" i="22"/>
  <c r="M311" i="22"/>
  <c r="L311" i="22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P294" i="22" s="1"/>
  <c r="O293" i="22"/>
  <c r="N291" i="22"/>
  <c r="M291" i="22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M273" i="22" s="1"/>
  <c r="P273" i="22" s="1"/>
  <c r="O274" i="22"/>
  <c r="O272" i="22"/>
  <c r="N272" i="22"/>
  <c r="M272" i="22"/>
  <c r="P272" i="22" s="1"/>
  <c r="L272" i="22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P254" i="22" s="1"/>
  <c r="O253" i="22"/>
  <c r="N251" i="22"/>
  <c r="M251" i="22"/>
  <c r="P251" i="22" s="1"/>
  <c r="L251" i="22"/>
  <c r="O251" i="22" s="1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P224" i="22" s="1"/>
  <c r="O223" i="22"/>
  <c r="P221" i="22"/>
  <c r="O221" i="22"/>
  <c r="N221" i="22"/>
  <c r="M221" i="22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M142" i="22" s="1"/>
  <c r="O143" i="22"/>
  <c r="N141" i="22"/>
  <c r="M141" i="22"/>
  <c r="P141" i="22" s="1"/>
  <c r="L141" i="22"/>
  <c r="O141" i="22" s="1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M120" i="22" s="1"/>
  <c r="P120" i="22" s="1"/>
  <c r="O121" i="22"/>
  <c r="N119" i="22"/>
  <c r="M119" i="22"/>
  <c r="P119" i="22" s="1"/>
  <c r="L119" i="22"/>
  <c r="O119" i="22" s="1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O97" i="22"/>
  <c r="P95" i="22"/>
  <c r="O95" i="22"/>
  <c r="N95" i="22"/>
  <c r="M95" i="22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O69" i="22"/>
  <c r="P67" i="22"/>
  <c r="N67" i="22"/>
  <c r="M67" i="22"/>
  <c r="L67" i="22"/>
  <c r="O67" i="22" s="1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P54" i="22"/>
  <c r="O54" i="22"/>
  <c r="N54" i="22"/>
  <c r="M54" i="22"/>
  <c r="L54" i="22"/>
  <c r="N49" i="22"/>
  <c r="L49" i="22"/>
  <c r="O49" i="22" s="1"/>
  <c r="L47" i="22"/>
  <c r="L46" i="22"/>
  <c r="N45" i="22"/>
  <c r="M45" i="22"/>
  <c r="M43" i="22" s="1"/>
  <c r="M41" i="22" s="1"/>
  <c r="P42" i="22"/>
  <c r="N42" i="22"/>
  <c r="M42" i="22"/>
  <c r="L42" i="22"/>
  <c r="O42" i="22" s="1"/>
  <c r="P36" i="22"/>
  <c r="O36" i="22"/>
  <c r="P35" i="22"/>
  <c r="O35" i="22"/>
  <c r="M34" i="22"/>
  <c r="P34" i="22" s="1"/>
  <c r="P33" i="22"/>
  <c r="M33" i="22"/>
  <c r="M32" i="22"/>
  <c r="M31" i="22"/>
  <c r="P31" i="22" s="1"/>
  <c r="M29" i="22"/>
  <c r="N25" i="22"/>
  <c r="N15" i="22" s="1"/>
  <c r="M25" i="22"/>
  <c r="P25" i="22" s="1"/>
  <c r="L25" i="22"/>
  <c r="P24" i="22"/>
  <c r="N24" i="22"/>
  <c r="M24" i="22"/>
  <c r="N23" i="22"/>
  <c r="M23" i="22"/>
  <c r="P21" i="22"/>
  <c r="O21" i="22"/>
  <c r="N21" i="22"/>
  <c r="M21" i="22"/>
  <c r="L21" i="22"/>
  <c r="N19" i="22"/>
  <c r="P15" i="22"/>
  <c r="M15" i="22"/>
  <c r="M14" i="22"/>
  <c r="P14" i="22" s="1"/>
  <c r="M11" i="22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O649" i="21" s="1"/>
  <c r="J649" i="21"/>
  <c r="I649" i="21"/>
  <c r="K649" i="21" s="1"/>
  <c r="N648" i="21"/>
  <c r="L648" i="2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P330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M312" i="21" s="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O272" i="21"/>
  <c r="N272" i="21"/>
  <c r="M272" i="21"/>
  <c r="P272" i="21" s="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N251" i="21"/>
  <c r="M251" i="2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P221" i="21"/>
  <c r="N221" i="21"/>
  <c r="M221" i="21"/>
  <c r="L221" i="21"/>
  <c r="O221" i="21" s="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N141" i="21"/>
  <c r="M141" i="21"/>
  <c r="L141" i="21"/>
  <c r="O141" i="21" s="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O119" i="21"/>
  <c r="N119" i="21"/>
  <c r="M119" i="21"/>
  <c r="P119" i="21" s="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O97" i="21"/>
  <c r="O95" i="21"/>
  <c r="N95" i="21"/>
  <c r="M95" i="21"/>
  <c r="P95" i="21" s="1"/>
  <c r="L95" i="21"/>
  <c r="J93" i="21"/>
  <c r="I93" i="21"/>
  <c r="K93" i="21" s="1"/>
  <c r="J92" i="21"/>
  <c r="I92" i="21"/>
  <c r="K92" i="21" s="1"/>
  <c r="J90" i="21"/>
  <c r="J89" i="21"/>
  <c r="J88" i="21"/>
  <c r="I88" i="21"/>
  <c r="K88" i="21" s="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L72" i="21"/>
  <c r="L71" i="21"/>
  <c r="N70" i="21"/>
  <c r="M70" i="21"/>
  <c r="O69" i="21"/>
  <c r="N67" i="21"/>
  <c r="M67" i="21"/>
  <c r="P67" i="21" s="1"/>
  <c r="L67" i="21"/>
  <c r="O67" i="21" s="1"/>
  <c r="J65" i="21"/>
  <c r="I65" i="21"/>
  <c r="J64" i="21"/>
  <c r="I64" i="21"/>
  <c r="N61" i="21"/>
  <c r="L61" i="21"/>
  <c r="O61" i="21" s="1"/>
  <c r="L59" i="21"/>
  <c r="L58" i="21"/>
  <c r="N57" i="21"/>
  <c r="M57" i="21"/>
  <c r="N54" i="21"/>
  <c r="M54" i="21"/>
  <c r="L54" i="21"/>
  <c r="O54" i="21" s="1"/>
  <c r="N49" i="21"/>
  <c r="L49" i="21"/>
  <c r="O49" i="21" s="1"/>
  <c r="L47" i="21"/>
  <c r="L46" i="21"/>
  <c r="N45" i="21"/>
  <c r="M45" i="21"/>
  <c r="N42" i="21"/>
  <c r="M42" i="21"/>
  <c r="P42" i="21" s="1"/>
  <c r="L42" i="21"/>
  <c r="O42" i="21" s="1"/>
  <c r="P36" i="21"/>
  <c r="O36" i="21"/>
  <c r="P35" i="21"/>
  <c r="O35" i="21"/>
  <c r="P34" i="21"/>
  <c r="M34" i="21"/>
  <c r="M33" i="21"/>
  <c r="P33" i="21" s="1"/>
  <c r="M32" i="21"/>
  <c r="P32" i="21" s="1"/>
  <c r="P31" i="21"/>
  <c r="M31" i="21"/>
  <c r="M30" i="21"/>
  <c r="P29" i="21"/>
  <c r="M29" i="21"/>
  <c r="P25" i="21"/>
  <c r="N25" i="21"/>
  <c r="M25" i="21"/>
  <c r="L25" i="21"/>
  <c r="O25" i="21" s="1"/>
  <c r="N24" i="21"/>
  <c r="M24" i="21"/>
  <c r="P24" i="21" s="1"/>
  <c r="N23" i="21"/>
  <c r="M23" i="21"/>
  <c r="P23" i="21" s="1"/>
  <c r="N21" i="21"/>
  <c r="M21" i="21"/>
  <c r="L21" i="21"/>
  <c r="L19" i="21" s="1"/>
  <c r="N19" i="21"/>
  <c r="O15" i="21"/>
  <c r="N15" i="21"/>
  <c r="M15" i="21"/>
  <c r="P15" i="21" s="1"/>
  <c r="L15" i="2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O648" i="20" s="1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O383" i="20" s="1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J370" i="20"/>
  <c r="I370" i="20"/>
  <c r="K370" i="20" s="1"/>
  <c r="J369" i="20"/>
  <c r="I369" i="20"/>
  <c r="K369" i="20" s="1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P330" i="20"/>
  <c r="N330" i="20"/>
  <c r="M330" i="20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P311" i="20"/>
  <c r="N311" i="20"/>
  <c r="M311" i="20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M292" i="20" s="1"/>
  <c r="P292" i="20" s="1"/>
  <c r="O293" i="20"/>
  <c r="O291" i="20"/>
  <c r="N291" i="20"/>
  <c r="M291" i="20"/>
  <c r="P291" i="20" s="1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P275" i="20" s="1"/>
  <c r="O274" i="20"/>
  <c r="P272" i="20"/>
  <c r="N272" i="20"/>
  <c r="M272" i="20"/>
  <c r="L272" i="20"/>
  <c r="O272" i="20" s="1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P251" i="20"/>
  <c r="O251" i="20"/>
  <c r="N251" i="20"/>
  <c r="M251" i="20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P141" i="20"/>
  <c r="O141" i="20"/>
  <c r="N141" i="20"/>
  <c r="M141" i="20"/>
  <c r="L141" i="20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N119" i="20"/>
  <c r="M119" i="20"/>
  <c r="L119" i="20"/>
  <c r="O119" i="20" s="1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M68" i="20" s="1"/>
  <c r="M66" i="20" s="1"/>
  <c r="P66" i="20" s="1"/>
  <c r="O69" i="20"/>
  <c r="P67" i="20"/>
  <c r="O67" i="20"/>
  <c r="N67" i="20"/>
  <c r="M67" i="20"/>
  <c r="L67" i="20"/>
  <c r="J65" i="20"/>
  <c r="I65" i="20"/>
  <c r="K65" i="20" s="1"/>
  <c r="J64" i="20"/>
  <c r="I64" i="20"/>
  <c r="K64" i="20" s="1"/>
  <c r="N61" i="20"/>
  <c r="L61" i="20"/>
  <c r="L59" i="20"/>
  <c r="L58" i="20"/>
  <c r="N57" i="20"/>
  <c r="M57" i="20"/>
  <c r="M55" i="20" s="1"/>
  <c r="O54" i="20"/>
  <c r="N54" i="20"/>
  <c r="M54" i="20"/>
  <c r="L54" i="20"/>
  <c r="N49" i="20"/>
  <c r="L49" i="20"/>
  <c r="O49" i="20" s="1"/>
  <c r="L47" i="20"/>
  <c r="L46" i="20"/>
  <c r="N45" i="20"/>
  <c r="M45" i="20"/>
  <c r="P42" i="20"/>
  <c r="O42" i="20"/>
  <c r="N42" i="20"/>
  <c r="M42" i="20"/>
  <c r="L42" i="20"/>
  <c r="P36" i="20"/>
  <c r="O36" i="20"/>
  <c r="P35" i="20"/>
  <c r="O35" i="20"/>
  <c r="M34" i="20"/>
  <c r="P34" i="20" s="1"/>
  <c r="P33" i="20"/>
  <c r="M33" i="20"/>
  <c r="P32" i="20"/>
  <c r="M32" i="20"/>
  <c r="P31" i="20"/>
  <c r="M31" i="20"/>
  <c r="M29" i="20" s="1"/>
  <c r="M30" i="20"/>
  <c r="P30" i="20" s="1"/>
  <c r="N25" i="20"/>
  <c r="M25" i="20"/>
  <c r="P25" i="20" s="1"/>
  <c r="L25" i="20"/>
  <c r="O25" i="20" s="1"/>
  <c r="P24" i="20"/>
  <c r="N24" i="20"/>
  <c r="M24" i="20"/>
  <c r="P23" i="20"/>
  <c r="N23" i="20"/>
  <c r="M23" i="20"/>
  <c r="O21" i="20"/>
  <c r="N21" i="20"/>
  <c r="M21" i="20"/>
  <c r="L21" i="20"/>
  <c r="O19" i="20"/>
  <c r="L19" i="20"/>
  <c r="O15" i="20"/>
  <c r="N15" i="20"/>
  <c r="L15" i="20"/>
  <c r="P14" i="20"/>
  <c r="M14" i="20"/>
  <c r="P13" i="20"/>
  <c r="M13" i="20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N330" i="19"/>
  <c r="M330" i="19"/>
  <c r="L330" i="19"/>
  <c r="O330" i="19" s="1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M312" i="19" s="1"/>
  <c r="P312" i="19" s="1"/>
  <c r="O313" i="19"/>
  <c r="N311" i="19"/>
  <c r="M311" i="19"/>
  <c r="P311" i="19" s="1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M292" i="19" s="1"/>
  <c r="P292" i="19" s="1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O274" i="19"/>
  <c r="N272" i="19"/>
  <c r="M272" i="19"/>
  <c r="P272" i="19" s="1"/>
  <c r="L272" i="19"/>
  <c r="O272" i="19" s="1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O253" i="19"/>
  <c r="P251" i="19"/>
  <c r="N251" i="19"/>
  <c r="M251" i="19"/>
  <c r="L251" i="19"/>
  <c r="O251" i="19" s="1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P221" i="19"/>
  <c r="N221" i="19"/>
  <c r="M221" i="19"/>
  <c r="L221" i="19"/>
  <c r="O221" i="19" s="1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P141" i="19"/>
  <c r="N141" i="19"/>
  <c r="M141" i="19"/>
  <c r="L141" i="19"/>
  <c r="O141" i="19" s="1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N119" i="19"/>
  <c r="M119" i="19"/>
  <c r="P119" i="19" s="1"/>
  <c r="L119" i="19"/>
  <c r="O119" i="19" s="1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O97" i="19"/>
  <c r="P95" i="19"/>
  <c r="N95" i="19"/>
  <c r="M95" i="19"/>
  <c r="L95" i="19"/>
  <c r="O95" i="19" s="1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P70" i="19" s="1"/>
  <c r="O69" i="19"/>
  <c r="N67" i="19"/>
  <c r="M67" i="19"/>
  <c r="P67" i="19" s="1"/>
  <c r="L67" i="19"/>
  <c r="O67" i="19" s="1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P54" i="19"/>
  <c r="N54" i="19"/>
  <c r="M54" i="19"/>
  <c r="L54" i="19"/>
  <c r="O54" i="19" s="1"/>
  <c r="N49" i="19"/>
  <c r="L49" i="19"/>
  <c r="O49" i="19" s="1"/>
  <c r="L47" i="19"/>
  <c r="L46" i="19"/>
  <c r="N45" i="19"/>
  <c r="M45" i="19"/>
  <c r="M43" i="19" s="1"/>
  <c r="N42" i="19"/>
  <c r="M42" i="19"/>
  <c r="P42" i="19" s="1"/>
  <c r="L42" i="19"/>
  <c r="O42" i="19" s="1"/>
  <c r="P36" i="19"/>
  <c r="O36" i="19"/>
  <c r="P35" i="19"/>
  <c r="O35" i="19"/>
  <c r="M34" i="19"/>
  <c r="P34" i="19" s="1"/>
  <c r="M33" i="19"/>
  <c r="P33" i="19" s="1"/>
  <c r="M32" i="19"/>
  <c r="M30" i="19" s="1"/>
  <c r="P30" i="19" s="1"/>
  <c r="P31" i="19"/>
  <c r="M31" i="19"/>
  <c r="M29" i="19"/>
  <c r="P29" i="19" s="1"/>
  <c r="N25" i="19"/>
  <c r="M25" i="19"/>
  <c r="L25" i="19"/>
  <c r="O25" i="19" s="1"/>
  <c r="N24" i="19"/>
  <c r="M24" i="19"/>
  <c r="P24" i="19" s="1"/>
  <c r="N23" i="19"/>
  <c r="M23" i="19"/>
  <c r="P23" i="19" s="1"/>
  <c r="P21" i="19"/>
  <c r="N21" i="19"/>
  <c r="M21" i="19"/>
  <c r="L21" i="19"/>
  <c r="N19" i="19"/>
  <c r="N15" i="19"/>
  <c r="M11" i="19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2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N352" i="18"/>
  <c r="L352" i="18"/>
  <c r="O352" i="18" s="1"/>
  <c r="N351" i="18"/>
  <c r="L351" i="18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O311" i="18"/>
  <c r="N311" i="18"/>
  <c r="M311" i="18"/>
  <c r="P311" i="18" s="1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P291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N272" i="18"/>
  <c r="M272" i="18"/>
  <c r="P272" i="18" s="1"/>
  <c r="L272" i="18"/>
  <c r="O272" i="18" s="1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P254" i="18" s="1"/>
  <c r="O253" i="18"/>
  <c r="N251" i="18"/>
  <c r="M251" i="18"/>
  <c r="P251" i="18" s="1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L226" i="18"/>
  <c r="L225" i="18"/>
  <c r="N224" i="18"/>
  <c r="M224" i="18"/>
  <c r="O223" i="18"/>
  <c r="P221" i="18"/>
  <c r="N221" i="18"/>
  <c r="M221" i="18"/>
  <c r="L221" i="18"/>
  <c r="O221" i="18" s="1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N141" i="18"/>
  <c r="M141" i="18"/>
  <c r="P141" i="18" s="1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N119" i="18"/>
  <c r="M119" i="18"/>
  <c r="P119" i="18" s="1"/>
  <c r="L119" i="18"/>
  <c r="O119" i="18" s="1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O95" i="18"/>
  <c r="N95" i="18"/>
  <c r="M95" i="18"/>
  <c r="P95" i="18" s="1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N67" i="18"/>
  <c r="M67" i="18"/>
  <c r="P67" i="18" s="1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N54" i="18"/>
  <c r="M54" i="18"/>
  <c r="P54" i="18" s="1"/>
  <c r="L54" i="18"/>
  <c r="O54" i="18" s="1"/>
  <c r="N49" i="18"/>
  <c r="L49" i="18"/>
  <c r="O49" i="18" s="1"/>
  <c r="L47" i="18"/>
  <c r="L46" i="18"/>
  <c r="N45" i="18"/>
  <c r="M45" i="18"/>
  <c r="M43" i="18" s="1"/>
  <c r="N42" i="18"/>
  <c r="M42" i="18"/>
  <c r="P42" i="18" s="1"/>
  <c r="L42" i="18"/>
  <c r="O42" i="18" s="1"/>
  <c r="P36" i="18"/>
  <c r="O36" i="18"/>
  <c r="P35" i="18"/>
  <c r="O35" i="18"/>
  <c r="M34" i="18"/>
  <c r="M33" i="18"/>
  <c r="P33" i="18" s="1"/>
  <c r="M32" i="18"/>
  <c r="P32" i="18" s="1"/>
  <c r="P31" i="18"/>
  <c r="M31" i="18"/>
  <c r="M30" i="18"/>
  <c r="P30" i="18" s="1"/>
  <c r="M29" i="18"/>
  <c r="P29" i="18" s="1"/>
  <c r="N25" i="18"/>
  <c r="M25" i="18"/>
  <c r="L25" i="18"/>
  <c r="O25" i="18" s="1"/>
  <c r="N24" i="18"/>
  <c r="M24" i="18"/>
  <c r="P24" i="18" s="1"/>
  <c r="N23" i="18"/>
  <c r="M23" i="18"/>
  <c r="P23" i="18" s="1"/>
  <c r="N21" i="18"/>
  <c r="M21" i="18"/>
  <c r="P21" i="18" s="1"/>
  <c r="L21" i="18"/>
  <c r="O21" i="18" s="1"/>
  <c r="N19" i="18"/>
  <c r="N15" i="18"/>
  <c r="L15" i="18"/>
  <c r="O15" i="18" s="1"/>
  <c r="M11" i="18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P311" i="17" s="1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M292" i="17" s="1"/>
  <c r="P292" i="17" s="1"/>
  <c r="O293" i="17"/>
  <c r="N291" i="17"/>
  <c r="M291" i="17"/>
  <c r="P291" i="17" s="1"/>
  <c r="L291" i="17"/>
  <c r="O291" i="17" s="1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N272" i="17"/>
  <c r="M272" i="17"/>
  <c r="P272" i="17" s="1"/>
  <c r="L272" i="17"/>
  <c r="O272" i="17" s="1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P141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P119" i="17" s="1"/>
  <c r="L119" i="17"/>
  <c r="O119" i="17" s="1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P98" i="17" s="1"/>
  <c r="O97" i="17"/>
  <c r="P95" i="17"/>
  <c r="O95" i="17"/>
  <c r="N95" i="17"/>
  <c r="M95" i="17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L72" i="17"/>
  <c r="L71" i="17"/>
  <c r="N70" i="17"/>
  <c r="M70" i="17"/>
  <c r="O69" i="17"/>
  <c r="N67" i="17"/>
  <c r="M67" i="17"/>
  <c r="P67" i="17" s="1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M53" i="17" s="1"/>
  <c r="P54" i="17"/>
  <c r="N54" i="17"/>
  <c r="M54" i="17"/>
  <c r="L54" i="17"/>
  <c r="O54" i="17" s="1"/>
  <c r="N49" i="17"/>
  <c r="L49" i="17"/>
  <c r="O49" i="17" s="1"/>
  <c r="L47" i="17"/>
  <c r="L46" i="17"/>
  <c r="N45" i="17"/>
  <c r="M45" i="17"/>
  <c r="M43" i="17" s="1"/>
  <c r="N42" i="17"/>
  <c r="M42" i="17"/>
  <c r="P42" i="17" s="1"/>
  <c r="L42" i="17"/>
  <c r="O42" i="17" s="1"/>
  <c r="P36" i="17"/>
  <c r="O36" i="17"/>
  <c r="P35" i="17"/>
  <c r="O35" i="17"/>
  <c r="M34" i="17"/>
  <c r="P34" i="17" s="1"/>
  <c r="M33" i="17"/>
  <c r="P33" i="17" s="1"/>
  <c r="P32" i="17"/>
  <c r="M32" i="17"/>
  <c r="M30" i="17" s="1"/>
  <c r="M31" i="17"/>
  <c r="P31" i="17" s="1"/>
  <c r="P30" i="17"/>
  <c r="M29" i="17"/>
  <c r="N25" i="17"/>
  <c r="N15" i="17" s="1"/>
  <c r="M25" i="17"/>
  <c r="L25" i="17"/>
  <c r="N24" i="17"/>
  <c r="M24" i="17"/>
  <c r="P24" i="17" s="1"/>
  <c r="P23" i="17"/>
  <c r="N23" i="17"/>
  <c r="M23" i="17"/>
  <c r="P21" i="17"/>
  <c r="N21" i="17"/>
  <c r="M21" i="17"/>
  <c r="L21" i="17"/>
  <c r="O21" i="17" s="1"/>
  <c r="N19" i="17"/>
  <c r="M13" i="17"/>
  <c r="P13" i="17" s="1"/>
  <c r="M11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J650" i="16"/>
  <c r="I650" i="16"/>
  <c r="K650" i="16" s="1"/>
  <c r="N649" i="16"/>
  <c r="L649" i="16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2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O353" i="16" s="1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P330" i="16"/>
  <c r="N330" i="16"/>
  <c r="M330" i="16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M312" i="16" s="1"/>
  <c r="O313" i="16"/>
  <c r="P311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P292" i="16" s="1"/>
  <c r="O293" i="16"/>
  <c r="O291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O119" i="16"/>
  <c r="N119" i="16"/>
  <c r="M119" i="16"/>
  <c r="L119" i="16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M102" i="16" s="1"/>
  <c r="L100" i="16"/>
  <c r="L99" i="16"/>
  <c r="N98" i="16"/>
  <c r="M98" i="16"/>
  <c r="O97" i="16"/>
  <c r="P95" i="16"/>
  <c r="O95" i="16"/>
  <c r="N95" i="16"/>
  <c r="M95" i="16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P67" i="16"/>
  <c r="O67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O54" i="16"/>
  <c r="N54" i="16"/>
  <c r="M54" i="16"/>
  <c r="P54" i="16" s="1"/>
  <c r="L54" i="16"/>
  <c r="N49" i="16"/>
  <c r="L49" i="16"/>
  <c r="O49" i="16" s="1"/>
  <c r="L47" i="16"/>
  <c r="L46" i="16"/>
  <c r="N45" i="16"/>
  <c r="M45" i="16"/>
  <c r="M43" i="16" s="1"/>
  <c r="M41" i="16" s="1"/>
  <c r="P42" i="16"/>
  <c r="O42" i="16"/>
  <c r="N42" i="16"/>
  <c r="M42" i="16"/>
  <c r="L42" i="16"/>
  <c r="P36" i="16"/>
  <c r="O36" i="16"/>
  <c r="P35" i="16"/>
  <c r="O35" i="16"/>
  <c r="P34" i="16"/>
  <c r="M34" i="16"/>
  <c r="P33" i="16"/>
  <c r="M33" i="16"/>
  <c r="M32" i="16"/>
  <c r="M31" i="16"/>
  <c r="P31" i="16" s="1"/>
  <c r="P25" i="16"/>
  <c r="O25" i="16"/>
  <c r="N25" i="16"/>
  <c r="M25" i="16"/>
  <c r="L25" i="16"/>
  <c r="P24" i="16"/>
  <c r="N24" i="16"/>
  <c r="M24" i="16"/>
  <c r="N23" i="16"/>
  <c r="M23" i="16"/>
  <c r="O21" i="16"/>
  <c r="N21" i="16"/>
  <c r="M21" i="16"/>
  <c r="M19" i="16" s="1"/>
  <c r="L21" i="16"/>
  <c r="L19" i="16" s="1"/>
  <c r="N19" i="16"/>
  <c r="P15" i="16"/>
  <c r="O15" i="16"/>
  <c r="N15" i="16"/>
  <c r="M15" i="16"/>
  <c r="M9" i="16" s="1"/>
  <c r="L15" i="16"/>
  <c r="M14" i="16"/>
  <c r="P14" i="16" s="1"/>
  <c r="P11" i="16"/>
  <c r="M11" i="16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1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P291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P272" i="15" s="1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P251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P119" i="15" s="1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M96" i="15" s="1"/>
  <c r="P96" i="15" s="1"/>
  <c r="O97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P68" i="15" s="1"/>
  <c r="O69" i="15"/>
  <c r="O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N54" i="15"/>
  <c r="M54" i="15"/>
  <c r="P54" i="15" s="1"/>
  <c r="L54" i="15"/>
  <c r="N49" i="15"/>
  <c r="L49" i="15"/>
  <c r="L47" i="15"/>
  <c r="L46" i="15"/>
  <c r="N45" i="15"/>
  <c r="M45" i="15"/>
  <c r="M43" i="15" s="1"/>
  <c r="O42" i="15"/>
  <c r="N42" i="15"/>
  <c r="M42" i="15"/>
  <c r="L42" i="15"/>
  <c r="P36" i="15"/>
  <c r="O36" i="15"/>
  <c r="P35" i="15"/>
  <c r="O35" i="15"/>
  <c r="P34" i="15"/>
  <c r="M34" i="15"/>
  <c r="M33" i="15"/>
  <c r="M32" i="15"/>
  <c r="M30" i="15" s="1"/>
  <c r="P30" i="15" s="1"/>
  <c r="M31" i="15"/>
  <c r="M29" i="15" s="1"/>
  <c r="P25" i="15"/>
  <c r="O25" i="15"/>
  <c r="N25" i="15"/>
  <c r="M25" i="15"/>
  <c r="L25" i="15"/>
  <c r="N24" i="15"/>
  <c r="M24" i="15"/>
  <c r="N23" i="15"/>
  <c r="M23" i="15"/>
  <c r="P23" i="15" s="1"/>
  <c r="N21" i="15"/>
  <c r="M21" i="15"/>
  <c r="P21" i="15" s="1"/>
  <c r="L21" i="15"/>
  <c r="N19" i="15"/>
  <c r="O15" i="15"/>
  <c r="N15" i="15"/>
  <c r="M15" i="15"/>
  <c r="L15" i="15"/>
  <c r="M11" i="15"/>
  <c r="P11" i="15" s="1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O650" i="14" s="1"/>
  <c r="J650" i="14"/>
  <c r="I650" i="14"/>
  <c r="K650" i="14" s="1"/>
  <c r="N649" i="14"/>
  <c r="L649" i="14"/>
  <c r="J649" i="14"/>
  <c r="I649" i="14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3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O332" i="14"/>
  <c r="O330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N291" i="14"/>
  <c r="M291" i="14"/>
  <c r="P291" i="14" s="1"/>
  <c r="L291" i="14"/>
  <c r="O291" i="14" s="1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P275" i="14" s="1"/>
  <c r="O274" i="14"/>
  <c r="O272" i="14"/>
  <c r="N272" i="14"/>
  <c r="M272" i="14"/>
  <c r="P272" i="14" s="1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O253" i="14"/>
  <c r="P251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M220" i="14" s="1"/>
  <c r="O223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P141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N54" i="14"/>
  <c r="M54" i="14"/>
  <c r="L54" i="14"/>
  <c r="N49" i="14"/>
  <c r="L49" i="14"/>
  <c r="L47" i="14"/>
  <c r="L46" i="14"/>
  <c r="N45" i="14"/>
  <c r="M45" i="14"/>
  <c r="O42" i="14"/>
  <c r="N42" i="14"/>
  <c r="M42" i="14"/>
  <c r="P42" i="14" s="1"/>
  <c r="L42" i="14"/>
  <c r="P36" i="14"/>
  <c r="O36" i="14"/>
  <c r="P35" i="14"/>
  <c r="O35" i="14"/>
  <c r="M34" i="14"/>
  <c r="P34" i="14" s="1"/>
  <c r="M33" i="14"/>
  <c r="P33" i="14" s="1"/>
  <c r="M32" i="14"/>
  <c r="P32" i="14" s="1"/>
  <c r="M31" i="14"/>
  <c r="P31" i="14" s="1"/>
  <c r="P29" i="14"/>
  <c r="M29" i="14"/>
  <c r="O25" i="14"/>
  <c r="N25" i="14"/>
  <c r="M25" i="14"/>
  <c r="P25" i="14" s="1"/>
  <c r="L25" i="14"/>
  <c r="N24" i="14"/>
  <c r="M24" i="14"/>
  <c r="P24" i="14" s="1"/>
  <c r="N23" i="14"/>
  <c r="M23" i="14"/>
  <c r="P23" i="14" s="1"/>
  <c r="P21" i="14"/>
  <c r="N21" i="14"/>
  <c r="M21" i="14"/>
  <c r="L21" i="14"/>
  <c r="L19" i="14" s="1"/>
  <c r="M19" i="14"/>
  <c r="P19" i="14" s="1"/>
  <c r="O15" i="14"/>
  <c r="N15" i="14"/>
  <c r="M15" i="14"/>
  <c r="P15" i="14" s="1"/>
  <c r="L15" i="14"/>
  <c r="M14" i="14"/>
  <c r="P14" i="14" s="1"/>
  <c r="P13" i="14"/>
  <c r="M13" i="14"/>
  <c r="P11" i="14"/>
  <c r="M11" i="14"/>
  <c r="M9" i="14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5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O383" i="13" s="1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L353" i="13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M337" i="13" s="1"/>
  <c r="L335" i="13"/>
  <c r="L334" i="13"/>
  <c r="N333" i="13"/>
  <c r="M333" i="13"/>
  <c r="O332" i="13"/>
  <c r="N330" i="13"/>
  <c r="M330" i="13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P292" i="13" s="1"/>
  <c r="O293" i="13"/>
  <c r="N291" i="13"/>
  <c r="M291" i="13"/>
  <c r="P291" i="13" s="1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O272" i="13"/>
  <c r="N272" i="13"/>
  <c r="M272" i="13"/>
  <c r="P272" i="13" s="1"/>
  <c r="L272" i="13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O221" i="13"/>
  <c r="N221" i="13"/>
  <c r="M221" i="13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P120" i="13" s="1"/>
  <c r="O121" i="13"/>
  <c r="O119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O67" i="13"/>
  <c r="N67" i="13"/>
  <c r="M67" i="13"/>
  <c r="L67" i="13"/>
  <c r="J65" i="13"/>
  <c r="I65" i="13"/>
  <c r="J64" i="13"/>
  <c r="I64" i="13"/>
  <c r="N61" i="13"/>
  <c r="L61" i="13"/>
  <c r="O61" i="13" s="1"/>
  <c r="L59" i="13"/>
  <c r="L58" i="13"/>
  <c r="N57" i="13"/>
  <c r="M57" i="13"/>
  <c r="P54" i="13"/>
  <c r="N54" i="13"/>
  <c r="M54" i="13"/>
  <c r="L54" i="13"/>
  <c r="N49" i="13"/>
  <c r="L49" i="13"/>
  <c r="O49" i="13" s="1"/>
  <c r="L47" i="13"/>
  <c r="L46" i="13"/>
  <c r="N45" i="13"/>
  <c r="M45" i="13"/>
  <c r="P42" i="13"/>
  <c r="O42" i="13"/>
  <c r="N42" i="13"/>
  <c r="M42" i="13"/>
  <c r="L42" i="13"/>
  <c r="P36" i="13"/>
  <c r="O36" i="13"/>
  <c r="P35" i="13"/>
  <c r="O35" i="13"/>
  <c r="P34" i="13"/>
  <c r="M34" i="13"/>
  <c r="M33" i="13"/>
  <c r="P33" i="13" s="1"/>
  <c r="M32" i="13"/>
  <c r="M31" i="13"/>
  <c r="P31" i="13" s="1"/>
  <c r="M29" i="13"/>
  <c r="P29" i="13" s="1"/>
  <c r="P25" i="13"/>
  <c r="N25" i="13"/>
  <c r="N15" i="13" s="1"/>
  <c r="M25" i="13"/>
  <c r="M19" i="13" s="1"/>
  <c r="L25" i="13"/>
  <c r="O25" i="13" s="1"/>
  <c r="N24" i="13"/>
  <c r="M24" i="13"/>
  <c r="P24" i="13" s="1"/>
  <c r="N23" i="13"/>
  <c r="M23" i="13"/>
  <c r="P21" i="13"/>
  <c r="N21" i="13"/>
  <c r="M21" i="13"/>
  <c r="L21" i="13"/>
  <c r="P19" i="13"/>
  <c r="M15" i="13"/>
  <c r="M9" i="13" s="1"/>
  <c r="M14" i="13"/>
  <c r="P14" i="13" s="1"/>
  <c r="M11" i="13"/>
  <c r="P11" i="13" s="1"/>
  <c r="J677" i="12"/>
  <c r="J676" i="12"/>
  <c r="J675" i="12"/>
  <c r="J674" i="12"/>
  <c r="J673" i="12"/>
  <c r="J672" i="12"/>
  <c r="N671" i="12"/>
  <c r="L671" i="12"/>
  <c r="I671" i="12"/>
  <c r="J670" i="12"/>
  <c r="J669" i="12"/>
  <c r="N668" i="12"/>
  <c r="L668" i="12"/>
  <c r="J668" i="12"/>
  <c r="I668" i="12"/>
  <c r="J667" i="12"/>
  <c r="J666" i="12"/>
  <c r="N665" i="12"/>
  <c r="L665" i="12"/>
  <c r="J665" i="12"/>
  <c r="I665" i="12"/>
  <c r="J663" i="12"/>
  <c r="I663" i="12"/>
  <c r="J662" i="12"/>
  <c r="N661" i="12"/>
  <c r="L661" i="12"/>
  <c r="J661" i="12"/>
  <c r="J660" i="12"/>
  <c r="J659" i="12"/>
  <c r="J658" i="12"/>
  <c r="J657" i="12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0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P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O293" i="12"/>
  <c r="P291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P272" i="12"/>
  <c r="O272" i="12"/>
  <c r="N272" i="12"/>
  <c r="M272" i="12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O251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L221" i="12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L59" i="12"/>
  <c r="L58" i="12"/>
  <c r="N57" i="12"/>
  <c r="M57" i="12"/>
  <c r="O54" i="12"/>
  <c r="N54" i="12"/>
  <c r="M54" i="12"/>
  <c r="L54" i="12"/>
  <c r="N49" i="12"/>
  <c r="L49" i="12"/>
  <c r="O49" i="12" s="1"/>
  <c r="L47" i="12"/>
  <c r="L46" i="12"/>
  <c r="N45" i="12"/>
  <c r="M45" i="12"/>
  <c r="M43" i="12" s="1"/>
  <c r="M41" i="12" s="1"/>
  <c r="P42" i="12"/>
  <c r="N42" i="12"/>
  <c r="M42" i="12"/>
  <c r="L42" i="12"/>
  <c r="O42" i="12" s="1"/>
  <c r="P36" i="12"/>
  <c r="O36" i="12"/>
  <c r="P35" i="12"/>
  <c r="O35" i="12"/>
  <c r="M34" i="12"/>
  <c r="P34" i="12" s="1"/>
  <c r="P33" i="12"/>
  <c r="M33" i="12"/>
  <c r="M32" i="12"/>
  <c r="P32" i="12" s="1"/>
  <c r="P31" i="12"/>
  <c r="M31" i="12"/>
  <c r="M29" i="12"/>
  <c r="N25" i="12"/>
  <c r="N19" i="12" s="1"/>
  <c r="M25" i="12"/>
  <c r="P25" i="12" s="1"/>
  <c r="L25" i="12"/>
  <c r="P24" i="12"/>
  <c r="N24" i="12"/>
  <c r="M24" i="12"/>
  <c r="N23" i="12"/>
  <c r="M23" i="12"/>
  <c r="O21" i="12"/>
  <c r="N21" i="12"/>
  <c r="M21" i="12"/>
  <c r="M19" i="12" s="1"/>
  <c r="L21" i="12"/>
  <c r="P15" i="12"/>
  <c r="N15" i="12"/>
  <c r="M15" i="12"/>
  <c r="M14" i="12"/>
  <c r="P14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M290" i="11" s="1"/>
  <c r="P290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P272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O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P119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N54" i="11"/>
  <c r="M54" i="11"/>
  <c r="P54" i="11" s="1"/>
  <c r="L54" i="11"/>
  <c r="N49" i="11"/>
  <c r="L49" i="11"/>
  <c r="L47" i="11"/>
  <c r="L46" i="11"/>
  <c r="N45" i="11"/>
  <c r="M45" i="11"/>
  <c r="O42" i="11"/>
  <c r="N42" i="11"/>
  <c r="M42" i="11"/>
  <c r="L42" i="11"/>
  <c r="P36" i="11"/>
  <c r="O36" i="11"/>
  <c r="P35" i="11"/>
  <c r="O35" i="11"/>
  <c r="P34" i="11"/>
  <c r="M34" i="11"/>
  <c r="M33" i="11"/>
  <c r="P32" i="11"/>
  <c r="M32" i="11"/>
  <c r="P31" i="11"/>
  <c r="M31" i="11"/>
  <c r="M30" i="11"/>
  <c r="M28" i="11" s="1"/>
  <c r="P28" i="11" s="1"/>
  <c r="P29" i="11"/>
  <c r="M29" i="11"/>
  <c r="P25" i="11"/>
  <c r="O25" i="11"/>
  <c r="N25" i="11"/>
  <c r="M25" i="11"/>
  <c r="L25" i="11"/>
  <c r="N24" i="11"/>
  <c r="M24" i="11"/>
  <c r="P23" i="11"/>
  <c r="N23" i="11"/>
  <c r="M23" i="11"/>
  <c r="N21" i="11"/>
  <c r="M21" i="11"/>
  <c r="M19" i="11" s="1"/>
  <c r="P19" i="11" s="1"/>
  <c r="L21" i="11"/>
  <c r="N19" i="11"/>
  <c r="O15" i="11"/>
  <c r="N15" i="11"/>
  <c r="M15" i="11"/>
  <c r="P15" i="11" s="1"/>
  <c r="L15" i="1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I668" i="10"/>
  <c r="J667" i="10"/>
  <c r="J666" i="10"/>
  <c r="N665" i="10"/>
  <c r="L665" i="10"/>
  <c r="J665" i="10"/>
  <c r="I665" i="10"/>
  <c r="J663" i="10"/>
  <c r="I663" i="10"/>
  <c r="J662" i="10"/>
  <c r="N661" i="10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O332" i="10"/>
  <c r="P330" i="10"/>
  <c r="N330" i="10"/>
  <c r="M330" i="10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P311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N221" i="10"/>
  <c r="M221" i="10"/>
  <c r="L221" i="10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O141" i="10"/>
  <c r="N141" i="10"/>
  <c r="M141" i="10"/>
  <c r="P141" i="10" s="1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P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M96" i="10" s="1"/>
  <c r="P96" i="10" s="1"/>
  <c r="O97" i="10"/>
  <c r="N95" i="10"/>
  <c r="M95" i="10"/>
  <c r="P95" i="10" s="1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P68" i="10" s="1"/>
  <c r="O69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N54" i="10"/>
  <c r="M54" i="10"/>
  <c r="L54" i="10"/>
  <c r="N49" i="10"/>
  <c r="L49" i="10"/>
  <c r="L47" i="10"/>
  <c r="L46" i="10"/>
  <c r="N45" i="10"/>
  <c r="M45" i="10"/>
  <c r="N42" i="10"/>
  <c r="M42" i="10"/>
  <c r="P42" i="10" s="1"/>
  <c r="L42" i="10"/>
  <c r="P36" i="10"/>
  <c r="O36" i="10"/>
  <c r="P35" i="10"/>
  <c r="O35" i="10"/>
  <c r="M34" i="10"/>
  <c r="P34" i="10" s="1"/>
  <c r="P33" i="10"/>
  <c r="M33" i="10"/>
  <c r="M32" i="10"/>
  <c r="M31" i="10"/>
  <c r="P31" i="10" s="1"/>
  <c r="M29" i="10"/>
  <c r="N25" i="10"/>
  <c r="M25" i="10"/>
  <c r="P25" i="10" s="1"/>
  <c r="L25" i="10"/>
  <c r="P24" i="10"/>
  <c r="N24" i="10"/>
  <c r="M24" i="10"/>
  <c r="N23" i="10"/>
  <c r="M23" i="10"/>
  <c r="P21" i="10"/>
  <c r="O21" i="10"/>
  <c r="N21" i="10"/>
  <c r="M21" i="10"/>
  <c r="L21" i="10"/>
  <c r="L19" i="10" s="1"/>
  <c r="N19" i="10"/>
  <c r="M19" i="10"/>
  <c r="P19" i="10" s="1"/>
  <c r="N15" i="10"/>
  <c r="M14" i="10"/>
  <c r="P14" i="10" s="1"/>
  <c r="M11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1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O330" i="9"/>
  <c r="N330" i="9"/>
  <c r="M330" i="9"/>
  <c r="L330" i="9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L296" i="9"/>
  <c r="L295" i="9"/>
  <c r="N294" i="9"/>
  <c r="M294" i="9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O221" i="9" s="1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O97" i="9"/>
  <c r="N95" i="9"/>
  <c r="M95" i="9"/>
  <c r="P95" i="9" s="1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P68" i="9" s="1"/>
  <c r="O69" i="9"/>
  <c r="O67" i="9"/>
  <c r="N67" i="9"/>
  <c r="M67" i="9"/>
  <c r="P67" i="9" s="1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O42" i="9"/>
  <c r="N42" i="9"/>
  <c r="M42" i="9"/>
  <c r="P42" i="9" s="1"/>
  <c r="L42" i="9"/>
  <c r="P36" i="9"/>
  <c r="O36" i="9"/>
  <c r="P35" i="9"/>
  <c r="O35" i="9"/>
  <c r="M34" i="9"/>
  <c r="P34" i="9" s="1"/>
  <c r="M33" i="9"/>
  <c r="P33" i="9" s="1"/>
  <c r="P32" i="9"/>
  <c r="M32" i="9"/>
  <c r="M31" i="9"/>
  <c r="M30" i="9"/>
  <c r="P30" i="9" s="1"/>
  <c r="N25" i="9"/>
  <c r="N15" i="9" s="1"/>
  <c r="M25" i="9"/>
  <c r="L25" i="9"/>
  <c r="O25" i="9" s="1"/>
  <c r="N24" i="9"/>
  <c r="M24" i="9"/>
  <c r="P24" i="9" s="1"/>
  <c r="P23" i="9"/>
  <c r="N23" i="9"/>
  <c r="M23" i="9"/>
  <c r="N21" i="9"/>
  <c r="M21" i="9"/>
  <c r="P21" i="9" s="1"/>
  <c r="L21" i="9"/>
  <c r="O21" i="9" s="1"/>
  <c r="L19" i="9"/>
  <c r="O15" i="9"/>
  <c r="L15" i="9"/>
  <c r="M13" i="9"/>
  <c r="P13" i="9" s="1"/>
  <c r="J677" i="8"/>
  <c r="J676" i="8"/>
  <c r="J675" i="8"/>
  <c r="J674" i="8"/>
  <c r="J673" i="8"/>
  <c r="J672" i="8"/>
  <c r="N671" i="8"/>
  <c r="L671" i="8"/>
  <c r="I671" i="8"/>
  <c r="J670" i="8"/>
  <c r="J669" i="8"/>
  <c r="N668" i="8"/>
  <c r="L668" i="8"/>
  <c r="J668" i="8"/>
  <c r="I668" i="8"/>
  <c r="J667" i="8"/>
  <c r="J666" i="8"/>
  <c r="N665" i="8"/>
  <c r="L665" i="8"/>
  <c r="J665" i="8"/>
  <c r="I665" i="8"/>
  <c r="J663" i="8"/>
  <c r="I663" i="8"/>
  <c r="J662" i="8"/>
  <c r="N661" i="8"/>
  <c r="L661" i="8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2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M337" i="8" s="1"/>
  <c r="M26" i="8" s="1"/>
  <c r="M16" i="8" s="1"/>
  <c r="L335" i="8"/>
  <c r="L334" i="8"/>
  <c r="N333" i="8"/>
  <c r="M333" i="8"/>
  <c r="O332" i="8"/>
  <c r="N330" i="8"/>
  <c r="M330" i="8"/>
  <c r="P330" i="8" s="1"/>
  <c r="L330" i="8"/>
  <c r="O330" i="8" s="1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P291" i="8"/>
  <c r="N291" i="8"/>
  <c r="M291" i="8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N251" i="8"/>
  <c r="M251" i="8"/>
  <c r="L251" i="8"/>
  <c r="O251" i="8" s="1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L226" i="8"/>
  <c r="L225" i="8"/>
  <c r="N224" i="8"/>
  <c r="M224" i="8"/>
  <c r="O223" i="8"/>
  <c r="O221" i="8"/>
  <c r="N221" i="8"/>
  <c r="M221" i="8"/>
  <c r="P221" i="8" s="1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O141" i="8"/>
  <c r="N141" i="8"/>
  <c r="M141" i="8"/>
  <c r="L141" i="8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L124" i="8"/>
  <c r="L123" i="8"/>
  <c r="N122" i="8"/>
  <c r="M122" i="8"/>
  <c r="P122" i="8" s="1"/>
  <c r="O121" i="8"/>
  <c r="P119" i="8"/>
  <c r="N119" i="8"/>
  <c r="M119" i="8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O54" i="8"/>
  <c r="N54" i="8"/>
  <c r="M54" i="8"/>
  <c r="P54" i="8" s="1"/>
  <c r="L54" i="8"/>
  <c r="N49" i="8"/>
  <c r="L49" i="8"/>
  <c r="O49" i="8" s="1"/>
  <c r="L47" i="8"/>
  <c r="L46" i="8"/>
  <c r="N45" i="8"/>
  <c r="M45" i="8"/>
  <c r="P42" i="8"/>
  <c r="N42" i="8"/>
  <c r="M42" i="8"/>
  <c r="L42" i="8"/>
  <c r="P36" i="8"/>
  <c r="O36" i="8"/>
  <c r="P35" i="8"/>
  <c r="O35" i="8"/>
  <c r="M34" i="8"/>
  <c r="P33" i="8"/>
  <c r="M33" i="8"/>
  <c r="M32" i="8"/>
  <c r="M30" i="8" s="1"/>
  <c r="P30" i="8" s="1"/>
  <c r="P31" i="8"/>
  <c r="M31" i="8"/>
  <c r="P29" i="8"/>
  <c r="M29" i="8"/>
  <c r="M28" i="8"/>
  <c r="P28" i="8" s="1"/>
  <c r="O25" i="8"/>
  <c r="N25" i="8"/>
  <c r="M25" i="8"/>
  <c r="M19" i="8" s="1"/>
  <c r="L25" i="8"/>
  <c r="P24" i="8"/>
  <c r="N24" i="8"/>
  <c r="M24" i="8"/>
  <c r="N23" i="8"/>
  <c r="M23" i="8"/>
  <c r="P23" i="8" s="1"/>
  <c r="O21" i="8"/>
  <c r="N21" i="8"/>
  <c r="M21" i="8"/>
  <c r="P21" i="8" s="1"/>
  <c r="L21" i="8"/>
  <c r="L19" i="8" s="1"/>
  <c r="N19" i="8"/>
  <c r="N15" i="8"/>
  <c r="L15" i="8"/>
  <c r="O15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K369" i="7" s="1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O353" i="7" s="1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M331" i="7" s="1"/>
  <c r="O332" i="7"/>
  <c r="O330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L277" i="7"/>
  <c r="L276" i="7"/>
  <c r="N275" i="7"/>
  <c r="M275" i="7"/>
  <c r="P275" i="7" s="1"/>
  <c r="O274" i="7"/>
  <c r="P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P221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O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M96" i="7" s="1"/>
  <c r="P96" i="7" s="1"/>
  <c r="O97" i="7"/>
  <c r="O95" i="7"/>
  <c r="N95" i="7"/>
  <c r="M95" i="7"/>
  <c r="P95" i="7" s="1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P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O54" i="7"/>
  <c r="N54" i="7"/>
  <c r="M54" i="7"/>
  <c r="P54" i="7" s="1"/>
  <c r="L54" i="7"/>
  <c r="N49" i="7"/>
  <c r="L49" i="7"/>
  <c r="M49" i="7" s="1"/>
  <c r="L47" i="7"/>
  <c r="L46" i="7"/>
  <c r="N45" i="7"/>
  <c r="M45" i="7"/>
  <c r="P42" i="7"/>
  <c r="N42" i="7"/>
  <c r="M42" i="7"/>
  <c r="L42" i="7"/>
  <c r="P36" i="7"/>
  <c r="O36" i="7"/>
  <c r="P35" i="7"/>
  <c r="O35" i="7"/>
  <c r="M34" i="7"/>
  <c r="P34" i="7" s="1"/>
  <c r="P33" i="7"/>
  <c r="M33" i="7"/>
  <c r="M32" i="7"/>
  <c r="P32" i="7" s="1"/>
  <c r="P31" i="7"/>
  <c r="M31" i="7"/>
  <c r="M30" i="7"/>
  <c r="P30" i="7" s="1"/>
  <c r="P29" i="7"/>
  <c r="M29" i="7"/>
  <c r="M28" i="7"/>
  <c r="P28" i="7" s="1"/>
  <c r="O25" i="7"/>
  <c r="N25" i="7"/>
  <c r="M25" i="7"/>
  <c r="P25" i="7" s="1"/>
  <c r="L25" i="7"/>
  <c r="P24" i="7"/>
  <c r="N24" i="7"/>
  <c r="M24" i="7"/>
  <c r="N23" i="7"/>
  <c r="M23" i="7"/>
  <c r="P23" i="7" s="1"/>
  <c r="O21" i="7"/>
  <c r="N21" i="7"/>
  <c r="N19" i="7" s="1"/>
  <c r="M21" i="7"/>
  <c r="L21" i="7"/>
  <c r="O19" i="7"/>
  <c r="L19" i="7"/>
  <c r="N15" i="7"/>
  <c r="L15" i="7"/>
  <c r="O15" i="7" s="1"/>
  <c r="M14" i="7"/>
  <c r="P14" i="7" s="1"/>
  <c r="J677" i="6"/>
  <c r="J676" i="6"/>
  <c r="J675" i="6"/>
  <c r="J674" i="6"/>
  <c r="J673" i="6"/>
  <c r="J672" i="6"/>
  <c r="N671" i="6"/>
  <c r="L671" i="6"/>
  <c r="I671" i="6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5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N311" i="6"/>
  <c r="M311" i="6"/>
  <c r="P311" i="6" s="1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N291" i="6"/>
  <c r="M291" i="6"/>
  <c r="P291" i="6" s="1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P141" i="6" s="1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O121" i="6"/>
  <c r="P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P98" i="6" s="1"/>
  <c r="O97" i="6"/>
  <c r="N95" i="6"/>
  <c r="M95" i="6"/>
  <c r="P95" i="6" s="1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O69" i="6"/>
  <c r="N67" i="6"/>
  <c r="M67" i="6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P54" i="6" s="1"/>
  <c r="L54" i="6"/>
  <c r="N49" i="6"/>
  <c r="L49" i="6"/>
  <c r="L47" i="6"/>
  <c r="L46" i="6"/>
  <c r="N45" i="6"/>
  <c r="M45" i="6"/>
  <c r="N42" i="6"/>
  <c r="M42" i="6"/>
  <c r="L42" i="6"/>
  <c r="O42" i="6" s="1"/>
  <c r="P36" i="6"/>
  <c r="O36" i="6"/>
  <c r="P35" i="6"/>
  <c r="O35" i="6"/>
  <c r="P34" i="6"/>
  <c r="M34" i="6"/>
  <c r="M33" i="6"/>
  <c r="P33" i="6" s="1"/>
  <c r="P32" i="6"/>
  <c r="M32" i="6"/>
  <c r="M31" i="6"/>
  <c r="M30" i="6"/>
  <c r="P30" i="6" s="1"/>
  <c r="P25" i="6"/>
  <c r="N25" i="6"/>
  <c r="N15" i="6" s="1"/>
  <c r="M25" i="6"/>
  <c r="L25" i="6"/>
  <c r="O25" i="6" s="1"/>
  <c r="N24" i="6"/>
  <c r="M24" i="6"/>
  <c r="P23" i="6"/>
  <c r="N23" i="6"/>
  <c r="M23" i="6"/>
  <c r="N21" i="6"/>
  <c r="M21" i="6"/>
  <c r="P21" i="6" s="1"/>
  <c r="L21" i="6"/>
  <c r="N19" i="6"/>
  <c r="M15" i="6"/>
  <c r="P15" i="6" s="1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N330" i="5"/>
  <c r="M330" i="5"/>
  <c r="P330" i="5" s="1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P311" i="5"/>
  <c r="O311" i="5"/>
  <c r="N311" i="5"/>
  <c r="M311" i="5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P291" i="5"/>
  <c r="N291" i="5"/>
  <c r="M291" i="5"/>
  <c r="L291" i="5"/>
  <c r="O291" i="5" s="1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O272" i="5"/>
  <c r="N272" i="5"/>
  <c r="M272" i="5"/>
  <c r="P272" i="5" s="1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M222" i="5" s="1"/>
  <c r="P222" i="5" s="1"/>
  <c r="O223" i="5"/>
  <c r="N221" i="5"/>
  <c r="M221" i="5"/>
  <c r="L221" i="5"/>
  <c r="O221" i="5" s="1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N141" i="5"/>
  <c r="M141" i="5"/>
  <c r="L141" i="5"/>
  <c r="O141" i="5" s="1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O119" i="5"/>
  <c r="N119" i="5"/>
  <c r="M119" i="5"/>
  <c r="P119" i="5" s="1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O67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L59" i="5"/>
  <c r="L58" i="5"/>
  <c r="N57" i="5"/>
  <c r="M57" i="5"/>
  <c r="P54" i="5"/>
  <c r="N54" i="5"/>
  <c r="M54" i="5"/>
  <c r="L54" i="5"/>
  <c r="O54" i="5" s="1"/>
  <c r="N49" i="5"/>
  <c r="L49" i="5"/>
  <c r="M49" i="5" s="1"/>
  <c r="L47" i="5"/>
  <c r="L46" i="5"/>
  <c r="N45" i="5"/>
  <c r="M45" i="5"/>
  <c r="P42" i="5"/>
  <c r="N42" i="5"/>
  <c r="M42" i="5"/>
  <c r="L42" i="5"/>
  <c r="O42" i="5" s="1"/>
  <c r="P36" i="5"/>
  <c r="O36" i="5"/>
  <c r="P35" i="5"/>
  <c r="O35" i="5"/>
  <c r="M34" i="5"/>
  <c r="P34" i="5" s="1"/>
  <c r="P33" i="5"/>
  <c r="M33" i="5"/>
  <c r="P32" i="5"/>
  <c r="M32" i="5"/>
  <c r="M30" i="5" s="1"/>
  <c r="M31" i="5"/>
  <c r="P31" i="5" s="1"/>
  <c r="P30" i="5"/>
  <c r="M29" i="5"/>
  <c r="N25" i="5"/>
  <c r="N15" i="5" s="1"/>
  <c r="M25" i="5"/>
  <c r="P25" i="5" s="1"/>
  <c r="L25" i="5"/>
  <c r="P24" i="5"/>
  <c r="N24" i="5"/>
  <c r="M24" i="5"/>
  <c r="P23" i="5"/>
  <c r="N23" i="5"/>
  <c r="M23" i="5"/>
  <c r="P21" i="5"/>
  <c r="O21" i="5"/>
  <c r="N21" i="5"/>
  <c r="N19" i="5" s="1"/>
  <c r="M21" i="5"/>
  <c r="L21" i="5"/>
  <c r="M19" i="5"/>
  <c r="P19" i="5" s="1"/>
  <c r="L19" i="5"/>
  <c r="P15" i="5"/>
  <c r="M15" i="5"/>
  <c r="P14" i="5"/>
  <c r="M14" i="5"/>
  <c r="M13" i="5"/>
  <c r="P13" i="5" s="1"/>
  <c r="M11" i="5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J667" i="4"/>
  <c r="J666" i="4"/>
  <c r="N665" i="4"/>
  <c r="L665" i="4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J650" i="4"/>
  <c r="I650" i="4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2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N141" i="4"/>
  <c r="M141" i="4"/>
  <c r="P141" i="4" s="1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N119" i="4"/>
  <c r="M119" i="4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N95" i="4"/>
  <c r="M95" i="4"/>
  <c r="P95" i="4" s="1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M68" i="4" s="1"/>
  <c r="P68" i="4" s="1"/>
  <c r="O69" i="4"/>
  <c r="N67" i="4"/>
  <c r="M67" i="4"/>
  <c r="L67" i="4"/>
  <c r="L67" i="1" s="1"/>
  <c r="O67" i="1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N54" i="4"/>
  <c r="M54" i="4"/>
  <c r="P54" i="4" s="1"/>
  <c r="L54" i="4"/>
  <c r="N49" i="4"/>
  <c r="L49" i="4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P34" i="4"/>
  <c r="M34" i="4"/>
  <c r="P33" i="4"/>
  <c r="M33" i="4"/>
  <c r="M32" i="4"/>
  <c r="P32" i="4" s="1"/>
  <c r="P31" i="4"/>
  <c r="M31" i="4"/>
  <c r="M30" i="4"/>
  <c r="P29" i="4"/>
  <c r="M29" i="4"/>
  <c r="P25" i="4"/>
  <c r="O25" i="4"/>
  <c r="N25" i="4"/>
  <c r="M25" i="4"/>
  <c r="L25" i="4"/>
  <c r="P24" i="4"/>
  <c r="N24" i="4"/>
  <c r="M24" i="4"/>
  <c r="N23" i="4"/>
  <c r="M23" i="4"/>
  <c r="P23" i="4" s="1"/>
  <c r="O21" i="4"/>
  <c r="N21" i="4"/>
  <c r="M21" i="4"/>
  <c r="L21" i="4"/>
  <c r="L19" i="4" s="1"/>
  <c r="O19" i="4"/>
  <c r="P15" i="4"/>
  <c r="O15" i="4"/>
  <c r="N15" i="4"/>
  <c r="M15" i="4"/>
  <c r="L15" i="4"/>
  <c r="M14" i="4"/>
  <c r="P14" i="4" s="1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N352" i="3"/>
  <c r="L352" i="3"/>
  <c r="O352" i="3" s="1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P330" i="3" s="1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O313" i="3"/>
  <c r="P311" i="3"/>
  <c r="O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L100" i="3"/>
  <c r="L99" i="3"/>
  <c r="N98" i="3"/>
  <c r="M98" i="3"/>
  <c r="P98" i="3" s="1"/>
  <c r="O97" i="3"/>
  <c r="O95" i="3"/>
  <c r="N95" i="3"/>
  <c r="M95" i="3"/>
  <c r="L95" i="3"/>
  <c r="J93" i="3"/>
  <c r="I93" i="3"/>
  <c r="K93" i="3" s="1"/>
  <c r="J92" i="3"/>
  <c r="I92" i="3"/>
  <c r="K92" i="3" s="1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P54" i="3"/>
  <c r="O54" i="3"/>
  <c r="N54" i="3"/>
  <c r="M54" i="3"/>
  <c r="L54" i="3"/>
  <c r="N49" i="3"/>
  <c r="L49" i="3"/>
  <c r="O49" i="3" s="1"/>
  <c r="L47" i="3"/>
  <c r="L46" i="3"/>
  <c r="N45" i="3"/>
  <c r="M45" i="3"/>
  <c r="M43" i="3" s="1"/>
  <c r="M41" i="3" s="1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P31" i="3"/>
  <c r="M31" i="3"/>
  <c r="M29" i="3"/>
  <c r="N25" i="3"/>
  <c r="M25" i="3"/>
  <c r="P25" i="3" s="1"/>
  <c r="L25" i="3"/>
  <c r="P24" i="3"/>
  <c r="N24" i="3"/>
  <c r="M24" i="3"/>
  <c r="N23" i="3"/>
  <c r="M23" i="3"/>
  <c r="P21" i="3"/>
  <c r="O21" i="3"/>
  <c r="N21" i="3"/>
  <c r="M21" i="3"/>
  <c r="M19" i="3" s="1"/>
  <c r="L21" i="3"/>
  <c r="L19" i="3" s="1"/>
  <c r="N19" i="3"/>
  <c r="N15" i="3"/>
  <c r="M14" i="3"/>
  <c r="P14" i="3" s="1"/>
  <c r="M11" i="3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N650" i="2"/>
  <c r="L650" i="2"/>
  <c r="J650" i="2"/>
  <c r="I650" i="2"/>
  <c r="K650" i="2" s="1"/>
  <c r="N649" i="2"/>
  <c r="L649" i="2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1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N582" i="2"/>
  <c r="L582" i="2"/>
  <c r="O582" i="2" s="1"/>
  <c r="N581" i="2"/>
  <c r="L581" i="2"/>
  <c r="O581" i="2" s="1"/>
  <c r="N580" i="2"/>
  <c r="L580" i="2"/>
  <c r="O580" i="2" s="1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N311" i="2"/>
  <c r="M311" i="2"/>
  <c r="P311" i="2" s="1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N272" i="2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N251" i="2"/>
  <c r="M251" i="2"/>
  <c r="P251" i="2" s="1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O221" i="2"/>
  <c r="N221" i="2"/>
  <c r="M221" i="2"/>
  <c r="L221" i="2"/>
  <c r="J219" i="2"/>
  <c r="I219" i="2"/>
  <c r="J218" i="2"/>
  <c r="J217" i="2"/>
  <c r="J216" i="2"/>
  <c r="I216" i="2"/>
  <c r="J215" i="2"/>
  <c r="I215" i="2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O141" i="2"/>
  <c r="N141" i="2"/>
  <c r="M141" i="2"/>
  <c r="P141" i="2" s="1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P119" i="2"/>
  <c r="O119" i="2"/>
  <c r="N119" i="2"/>
  <c r="N119" i="1" s="1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L100" i="2"/>
  <c r="L99" i="2"/>
  <c r="N98" i="2"/>
  <c r="M98" i="2"/>
  <c r="O97" i="2"/>
  <c r="O95" i="2"/>
  <c r="N95" i="2"/>
  <c r="M95" i="2"/>
  <c r="P95" i="2" s="1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J79" i="2"/>
  <c r="J78" i="2"/>
  <c r="J77" i="2"/>
  <c r="J76" i="2"/>
  <c r="N74" i="2"/>
  <c r="L74" i="2"/>
  <c r="L72" i="2"/>
  <c r="L71" i="2"/>
  <c r="N70" i="2"/>
  <c r="M70" i="2"/>
  <c r="M68" i="2" s="1"/>
  <c r="O69" i="2"/>
  <c r="P67" i="2"/>
  <c r="O67" i="2"/>
  <c r="N67" i="2"/>
  <c r="M67" i="2"/>
  <c r="L67" i="2"/>
  <c r="J65" i="2"/>
  <c r="I65" i="2"/>
  <c r="K65" i="2" s="1"/>
  <c r="J64" i="2"/>
  <c r="I64" i="2"/>
  <c r="N61" i="2"/>
  <c r="L61" i="2"/>
  <c r="L59" i="2"/>
  <c r="L58" i="2"/>
  <c r="N57" i="2"/>
  <c r="M57" i="2"/>
  <c r="M55" i="2" s="1"/>
  <c r="O54" i="2"/>
  <c r="N54" i="2"/>
  <c r="M54" i="2"/>
  <c r="P54" i="2" s="1"/>
  <c r="L54" i="2"/>
  <c r="N49" i="2"/>
  <c r="L49" i="2"/>
  <c r="M49" i="2" s="1"/>
  <c r="L47" i="2"/>
  <c r="L46" i="2"/>
  <c r="N45" i="2"/>
  <c r="M45" i="2"/>
  <c r="P42" i="2"/>
  <c r="N42" i="2"/>
  <c r="M42" i="2"/>
  <c r="L42" i="2"/>
  <c r="O42" i="2" s="1"/>
  <c r="P36" i="2"/>
  <c r="O36" i="2"/>
  <c r="P35" i="2"/>
  <c r="O35" i="2"/>
  <c r="P34" i="2"/>
  <c r="M34" i="2"/>
  <c r="P33" i="2"/>
  <c r="M33" i="2"/>
  <c r="M32" i="2"/>
  <c r="M30" i="2" s="1"/>
  <c r="P30" i="2" s="1"/>
  <c r="M31" i="2"/>
  <c r="P31" i="2" s="1"/>
  <c r="M29" i="2"/>
  <c r="P29" i="2" s="1"/>
  <c r="P25" i="2"/>
  <c r="N25" i="2"/>
  <c r="M25" i="2"/>
  <c r="M19" i="2" s="1"/>
  <c r="L25" i="2"/>
  <c r="O25" i="2" s="1"/>
  <c r="P24" i="2"/>
  <c r="N24" i="2"/>
  <c r="M24" i="2"/>
  <c r="N23" i="2"/>
  <c r="M23" i="2"/>
  <c r="P23" i="2" s="1"/>
  <c r="P21" i="2"/>
  <c r="O21" i="2"/>
  <c r="N21" i="2"/>
  <c r="M21" i="2"/>
  <c r="L21" i="2"/>
  <c r="L19" i="2" s="1"/>
  <c r="N19" i="2"/>
  <c r="P15" i="2"/>
  <c r="N15" i="2"/>
  <c r="M15" i="2"/>
  <c r="M14" i="2"/>
  <c r="P14" i="2" s="1"/>
  <c r="M11" i="2"/>
  <c r="M9" i="2" s="1"/>
  <c r="O639" i="1"/>
  <c r="O637" i="1"/>
  <c r="I548" i="1"/>
  <c r="K548" i="1" s="1"/>
  <c r="I365" i="1"/>
  <c r="K365" i="1" s="1"/>
  <c r="L336" i="1"/>
  <c r="O332" i="1"/>
  <c r="N332" i="1"/>
  <c r="M332" i="1"/>
  <c r="L332" i="1"/>
  <c r="P330" i="1"/>
  <c r="O330" i="1"/>
  <c r="N330" i="1"/>
  <c r="M330" i="1"/>
  <c r="L330" i="1"/>
  <c r="L317" i="1"/>
  <c r="O313" i="1"/>
  <c r="N313" i="1"/>
  <c r="M313" i="1"/>
  <c r="L313" i="1"/>
  <c r="O311" i="1"/>
  <c r="N311" i="1"/>
  <c r="M311" i="1"/>
  <c r="P311" i="1" s="1"/>
  <c r="L311" i="1"/>
  <c r="J307" i="1"/>
  <c r="L297" i="1"/>
  <c r="N293" i="1"/>
  <c r="M293" i="1"/>
  <c r="L293" i="1"/>
  <c r="O293" i="1" s="1"/>
  <c r="P291" i="1"/>
  <c r="N291" i="1"/>
  <c r="M291" i="1"/>
  <c r="L291" i="1"/>
  <c r="O291" i="1" s="1"/>
  <c r="L278" i="1"/>
  <c r="N274" i="1"/>
  <c r="M274" i="1"/>
  <c r="L274" i="1"/>
  <c r="L21" i="1" s="1"/>
  <c r="P272" i="1"/>
  <c r="N272" i="1"/>
  <c r="M272" i="1"/>
  <c r="L272" i="1"/>
  <c r="O272" i="1" s="1"/>
  <c r="L257" i="1"/>
  <c r="O253" i="1"/>
  <c r="N253" i="1"/>
  <c r="M253" i="1"/>
  <c r="L253" i="1"/>
  <c r="N251" i="1"/>
  <c r="M251" i="1"/>
  <c r="P251" i="1" s="1"/>
  <c r="J240" i="1"/>
  <c r="L227" i="1"/>
  <c r="N223" i="1"/>
  <c r="M223" i="1"/>
  <c r="L223" i="1"/>
  <c r="O223" i="1" s="1"/>
  <c r="O221" i="1"/>
  <c r="N221" i="1"/>
  <c r="L221" i="1"/>
  <c r="J214" i="1"/>
  <c r="I214" i="1"/>
  <c r="J198" i="1"/>
  <c r="L147" i="1"/>
  <c r="N143" i="1"/>
  <c r="M143" i="1"/>
  <c r="L143" i="1"/>
  <c r="O143" i="1" s="1"/>
  <c r="N141" i="1"/>
  <c r="L141" i="1"/>
  <c r="O141" i="1" s="1"/>
  <c r="L125" i="1"/>
  <c r="O121" i="1"/>
  <c r="N121" i="1"/>
  <c r="M121" i="1"/>
  <c r="L121" i="1"/>
  <c r="M119" i="1"/>
  <c r="P119" i="1" s="1"/>
  <c r="L119" i="1"/>
  <c r="O119" i="1" s="1"/>
  <c r="L101" i="1"/>
  <c r="N97" i="1"/>
  <c r="N21" i="1" s="1"/>
  <c r="M97" i="1"/>
  <c r="L97" i="1"/>
  <c r="O97" i="1" s="1"/>
  <c r="N95" i="1"/>
  <c r="L95" i="1"/>
  <c r="O95" i="1" s="1"/>
  <c r="L73" i="1"/>
  <c r="N69" i="1"/>
  <c r="M69" i="1"/>
  <c r="M21" i="1" s="1"/>
  <c r="L69" i="1"/>
  <c r="O69" i="1" s="1"/>
  <c r="M67" i="1"/>
  <c r="P67" i="1" s="1"/>
  <c r="L60" i="1"/>
  <c r="L56" i="1"/>
  <c r="P54" i="1"/>
  <c r="N54" i="1"/>
  <c r="M54" i="1"/>
  <c r="L54" i="1"/>
  <c r="O54" i="1" s="1"/>
  <c r="L48" i="1"/>
  <c r="L44" i="1"/>
  <c r="N42" i="1"/>
  <c r="M42" i="1"/>
  <c r="P42" i="1" s="1"/>
  <c r="L42" i="1"/>
  <c r="O42" i="1" s="1"/>
  <c r="P36" i="1"/>
  <c r="O36" i="1"/>
  <c r="P35" i="1"/>
  <c r="O35" i="1"/>
  <c r="P34" i="1"/>
  <c r="M34" i="1"/>
  <c r="M33" i="1"/>
  <c r="P33" i="1" s="1"/>
  <c r="P32" i="1"/>
  <c r="M32" i="1"/>
  <c r="M31" i="1"/>
  <c r="P31" i="1" s="1"/>
  <c r="P30" i="1"/>
  <c r="M30" i="1"/>
  <c r="M29" i="1"/>
  <c r="P29" i="1" s="1"/>
  <c r="P25" i="1"/>
  <c r="N25" i="1"/>
  <c r="N15" i="1" s="1"/>
  <c r="M25" i="1"/>
  <c r="L25" i="1"/>
  <c r="O25" i="1" s="1"/>
  <c r="N24" i="1"/>
  <c r="M24" i="1"/>
  <c r="P24" i="1" s="1"/>
  <c r="P23" i="1"/>
  <c r="N23" i="1"/>
  <c r="M23" i="1"/>
  <c r="M15" i="1"/>
  <c r="P15" i="1" s="1"/>
  <c r="L70" i="5" l="1"/>
  <c r="K112" i="2"/>
  <c r="K176" i="2"/>
  <c r="N273" i="12"/>
  <c r="O568" i="17"/>
  <c r="K628" i="3"/>
  <c r="K580" i="19"/>
  <c r="K631" i="19"/>
  <c r="K634" i="19"/>
  <c r="O650" i="4"/>
  <c r="K665" i="4"/>
  <c r="K668" i="4"/>
  <c r="K200" i="15"/>
  <c r="K204" i="15"/>
  <c r="K213" i="15"/>
  <c r="N312" i="19"/>
  <c r="N310" i="19" s="1"/>
  <c r="K81" i="3"/>
  <c r="K533" i="18"/>
  <c r="O649" i="12"/>
  <c r="L45" i="18"/>
  <c r="O45" i="18" s="1"/>
  <c r="O385" i="18"/>
  <c r="K420" i="18"/>
  <c r="K426" i="18"/>
  <c r="M331" i="8"/>
  <c r="M329" i="8" s="1"/>
  <c r="K634" i="3"/>
  <c r="K533" i="19"/>
  <c r="J445" i="1"/>
  <c r="K377" i="8"/>
  <c r="O380" i="8"/>
  <c r="O383" i="8"/>
  <c r="O401" i="8"/>
  <c r="K418" i="8"/>
  <c r="K424" i="8"/>
  <c r="O439" i="8"/>
  <c r="M292" i="10"/>
  <c r="M290" i="10" s="1"/>
  <c r="P290" i="10" s="1"/>
  <c r="K547" i="12"/>
  <c r="K618" i="3"/>
  <c r="K416" i="8"/>
  <c r="K428" i="8"/>
  <c r="K431" i="8"/>
  <c r="K435" i="8"/>
  <c r="K451" i="8"/>
  <c r="L70" i="9"/>
  <c r="O70" i="9" s="1"/>
  <c r="K613" i="10"/>
  <c r="M120" i="14"/>
  <c r="P120" i="14" s="1"/>
  <c r="K634" i="9"/>
  <c r="O668" i="13"/>
  <c r="K564" i="5"/>
  <c r="K81" i="6"/>
  <c r="K229" i="6"/>
  <c r="K235" i="6"/>
  <c r="K482" i="6"/>
  <c r="K619" i="5"/>
  <c r="N43" i="6"/>
  <c r="N41" i="6" s="1"/>
  <c r="O661" i="12"/>
  <c r="K613" i="17"/>
  <c r="K88" i="18"/>
  <c r="J186" i="1"/>
  <c r="J328" i="1"/>
  <c r="K634" i="5"/>
  <c r="K426" i="6"/>
  <c r="K429" i="6"/>
  <c r="O435" i="6"/>
  <c r="K449" i="6"/>
  <c r="K466" i="6"/>
  <c r="K499" i="6"/>
  <c r="O566" i="6"/>
  <c r="O668" i="8"/>
  <c r="K533" i="15"/>
  <c r="K419" i="18"/>
  <c r="K425" i="18"/>
  <c r="O533" i="18"/>
  <c r="K547" i="18"/>
  <c r="I512" i="1"/>
  <c r="K512" i="1" s="1"/>
  <c r="K481" i="15"/>
  <c r="K189" i="16"/>
  <c r="K199" i="16"/>
  <c r="N142" i="9"/>
  <c r="N140" i="9" s="1"/>
  <c r="O380" i="16"/>
  <c r="O383" i="16"/>
  <c r="K418" i="16"/>
  <c r="K421" i="16"/>
  <c r="O459" i="16"/>
  <c r="L144" i="19"/>
  <c r="L142" i="19" s="1"/>
  <c r="K455" i="21"/>
  <c r="O457" i="21"/>
  <c r="M273" i="14"/>
  <c r="P273" i="14" s="1"/>
  <c r="O537" i="8"/>
  <c r="O566" i="8"/>
  <c r="O599" i="8"/>
  <c r="K632" i="8"/>
  <c r="L294" i="9"/>
  <c r="K591" i="12"/>
  <c r="O537" i="13"/>
  <c r="K416" i="15"/>
  <c r="O347" i="3"/>
  <c r="O535" i="12"/>
  <c r="I635" i="1"/>
  <c r="J112" i="1"/>
  <c r="N347" i="1"/>
  <c r="L314" i="21"/>
  <c r="L312" i="21" s="1"/>
  <c r="K650" i="8"/>
  <c r="K138" i="9"/>
  <c r="O354" i="15"/>
  <c r="K597" i="22"/>
  <c r="O599" i="22"/>
  <c r="K629" i="22"/>
  <c r="O564" i="12"/>
  <c r="K345" i="2"/>
  <c r="J133" i="1"/>
  <c r="J164" i="1"/>
  <c r="J204" i="1"/>
  <c r="N388" i="1"/>
  <c r="I474" i="1"/>
  <c r="K650" i="4"/>
  <c r="M333" i="1"/>
  <c r="I345" i="1"/>
  <c r="J360" i="1"/>
  <c r="J375" i="1"/>
  <c r="L333" i="7"/>
  <c r="O333" i="7" s="1"/>
  <c r="K635" i="10"/>
  <c r="P57" i="11"/>
  <c r="L314" i="14"/>
  <c r="O314" i="14" s="1"/>
  <c r="O439" i="17"/>
  <c r="K450" i="17"/>
  <c r="J608" i="1"/>
  <c r="J219" i="1"/>
  <c r="J466" i="1"/>
  <c r="J487" i="1"/>
  <c r="J502" i="1"/>
  <c r="N588" i="1"/>
  <c r="N43" i="5"/>
  <c r="N41" i="5" s="1"/>
  <c r="N331" i="5"/>
  <c r="N329" i="5" s="1"/>
  <c r="P294" i="11"/>
  <c r="J418" i="1"/>
  <c r="P122" i="13"/>
  <c r="N312" i="15"/>
  <c r="N310" i="15" s="1"/>
  <c r="O599" i="15"/>
  <c r="K158" i="16"/>
  <c r="K612" i="2"/>
  <c r="O650" i="3"/>
  <c r="O437" i="7"/>
  <c r="J300" i="1"/>
  <c r="N386" i="1"/>
  <c r="L401" i="1"/>
  <c r="L404" i="1"/>
  <c r="O568" i="12"/>
  <c r="K465" i="2"/>
  <c r="P144" i="4"/>
  <c r="K149" i="4"/>
  <c r="O380" i="4"/>
  <c r="O383" i="4"/>
  <c r="O401" i="4"/>
  <c r="O439" i="4"/>
  <c r="K450" i="4"/>
  <c r="K426" i="7"/>
  <c r="K429" i="7"/>
  <c r="K432" i="7"/>
  <c r="O435" i="7"/>
  <c r="K449" i="7"/>
  <c r="K376" i="10"/>
  <c r="K397" i="10"/>
  <c r="K665" i="10"/>
  <c r="K235" i="11"/>
  <c r="O406" i="11"/>
  <c r="O435" i="11"/>
  <c r="K396" i="12"/>
  <c r="K428" i="12"/>
  <c r="K455" i="12"/>
  <c r="K634" i="12"/>
  <c r="K649" i="12"/>
  <c r="K421" i="13"/>
  <c r="K427" i="13"/>
  <c r="K497" i="13"/>
  <c r="K381" i="16"/>
  <c r="O568" i="16"/>
  <c r="N331" i="19"/>
  <c r="N329" i="19" s="1"/>
  <c r="J104" i="1"/>
  <c r="L534" i="1"/>
  <c r="O534" i="1" s="1"/>
  <c r="J597" i="1"/>
  <c r="N603" i="1"/>
  <c r="J619" i="1"/>
  <c r="J629" i="1"/>
  <c r="J632" i="1"/>
  <c r="N55" i="13"/>
  <c r="N53" i="13" s="1"/>
  <c r="K616" i="15"/>
  <c r="K219" i="17"/>
  <c r="J285" i="1"/>
  <c r="J470" i="1"/>
  <c r="J476" i="1"/>
  <c r="J506" i="1"/>
  <c r="N273" i="4"/>
  <c r="N271" i="4" s="1"/>
  <c r="J156" i="1"/>
  <c r="J161" i="1"/>
  <c r="J175" i="1"/>
  <c r="J184" i="1"/>
  <c r="J201" i="1"/>
  <c r="J210" i="1"/>
  <c r="N55" i="7"/>
  <c r="N53" i="7" s="1"/>
  <c r="I497" i="1"/>
  <c r="J514" i="1"/>
  <c r="N559" i="1"/>
  <c r="J564" i="1"/>
  <c r="N566" i="1"/>
  <c r="N570" i="1"/>
  <c r="J575" i="1"/>
  <c r="N580" i="1"/>
  <c r="N583" i="1"/>
  <c r="J591" i="1"/>
  <c r="J339" i="1"/>
  <c r="J342" i="1"/>
  <c r="J130" i="1"/>
  <c r="J154" i="1"/>
  <c r="J195" i="1"/>
  <c r="J200" i="1"/>
  <c r="J213" i="1"/>
  <c r="J238" i="1"/>
  <c r="N650" i="1"/>
  <c r="J160" i="1"/>
  <c r="J169" i="1"/>
  <c r="J174" i="1"/>
  <c r="J209" i="1"/>
  <c r="L255" i="1"/>
  <c r="I266" i="1"/>
  <c r="I524" i="1"/>
  <c r="N538" i="1"/>
  <c r="L648" i="1"/>
  <c r="J80" i="1"/>
  <c r="J90" i="1"/>
  <c r="J106" i="1"/>
  <c r="J181" i="1"/>
  <c r="L225" i="1"/>
  <c r="J268" i="1"/>
  <c r="I306" i="1"/>
  <c r="J344" i="1"/>
  <c r="J350" i="1"/>
  <c r="N353" i="1"/>
  <c r="N358" i="1"/>
  <c r="I372" i="1"/>
  <c r="J378" i="1"/>
  <c r="I396" i="1"/>
  <c r="J399" i="1"/>
  <c r="I416" i="1"/>
  <c r="I425" i="1"/>
  <c r="I435" i="1"/>
  <c r="L437" i="1"/>
  <c r="N440" i="1"/>
  <c r="L457" i="1"/>
  <c r="J660" i="1"/>
  <c r="N57" i="1"/>
  <c r="J131" i="1"/>
  <c r="J135" i="1"/>
  <c r="N148" i="1"/>
  <c r="I189" i="1"/>
  <c r="J496" i="1"/>
  <c r="J499" i="1"/>
  <c r="I529" i="1"/>
  <c r="L537" i="1"/>
  <c r="J543" i="1"/>
  <c r="I613" i="1"/>
  <c r="L275" i="5"/>
  <c r="L273" i="5" s="1"/>
  <c r="L271" i="5" s="1"/>
  <c r="J89" i="1"/>
  <c r="J430" i="1"/>
  <c r="N456" i="1"/>
  <c r="N459" i="1"/>
  <c r="N43" i="10"/>
  <c r="N41" i="10" s="1"/>
  <c r="N598" i="1"/>
  <c r="J624" i="1"/>
  <c r="J270" i="1"/>
  <c r="J549" i="1"/>
  <c r="L567" i="1"/>
  <c r="O567" i="1" s="1"/>
  <c r="J83" i="1"/>
  <c r="L148" i="1"/>
  <c r="O148" i="1" s="1"/>
  <c r="I496" i="1"/>
  <c r="K496" i="1" s="1"/>
  <c r="K189" i="3"/>
  <c r="K199" i="3"/>
  <c r="K425" i="3"/>
  <c r="P49" i="5"/>
  <c r="P337" i="5"/>
  <c r="N252" i="7"/>
  <c r="N250" i="7" s="1"/>
  <c r="O599" i="10"/>
  <c r="K632" i="10"/>
  <c r="L98" i="14"/>
  <c r="O98" i="14" s="1"/>
  <c r="I499" i="1"/>
  <c r="K423" i="17"/>
  <c r="K449" i="17"/>
  <c r="L57" i="22"/>
  <c r="O57" i="22" s="1"/>
  <c r="J545" i="1"/>
  <c r="J86" i="1"/>
  <c r="I339" i="1"/>
  <c r="K339" i="1" s="1"/>
  <c r="K108" i="2"/>
  <c r="K449" i="2"/>
  <c r="J345" i="1"/>
  <c r="J349" i="1"/>
  <c r="N351" i="1"/>
  <c r="N354" i="1"/>
  <c r="J366" i="1"/>
  <c r="I547" i="1"/>
  <c r="N294" i="1"/>
  <c r="L354" i="1"/>
  <c r="J365" i="1"/>
  <c r="J369" i="1"/>
  <c r="J379" i="1"/>
  <c r="J381" i="1"/>
  <c r="N384" i="1"/>
  <c r="N389" i="1"/>
  <c r="J400" i="1"/>
  <c r="J402" i="1"/>
  <c r="N405" i="1"/>
  <c r="J422" i="1"/>
  <c r="J425" i="1"/>
  <c r="N437" i="1"/>
  <c r="J451" i="1"/>
  <c r="O533" i="7"/>
  <c r="K628" i="7"/>
  <c r="K631" i="7"/>
  <c r="O599" i="9"/>
  <c r="L661" i="1"/>
  <c r="P57" i="10"/>
  <c r="K164" i="10"/>
  <c r="O651" i="10"/>
  <c r="J320" i="1"/>
  <c r="O566" i="15"/>
  <c r="O566" i="16"/>
  <c r="O599" i="16"/>
  <c r="K375" i="19"/>
  <c r="K381" i="19"/>
  <c r="K402" i="19"/>
  <c r="O661" i="21"/>
  <c r="O671" i="21"/>
  <c r="N602" i="1"/>
  <c r="I619" i="1"/>
  <c r="N357" i="1"/>
  <c r="N380" i="1"/>
  <c r="I343" i="1"/>
  <c r="J607" i="1"/>
  <c r="L279" i="1"/>
  <c r="O279" i="1" s="1"/>
  <c r="I467" i="1"/>
  <c r="K467" i="1" s="1"/>
  <c r="I488" i="1"/>
  <c r="K488" i="1" s="1"/>
  <c r="I503" i="1"/>
  <c r="K503" i="1" s="1"/>
  <c r="I514" i="1"/>
  <c r="K514" i="1" s="1"/>
  <c r="O437" i="2"/>
  <c r="K473" i="4"/>
  <c r="J416" i="1"/>
  <c r="J218" i="1"/>
  <c r="K619" i="7"/>
  <c r="L45" i="8"/>
  <c r="O45" i="8" s="1"/>
  <c r="N292" i="12"/>
  <c r="N290" i="12" s="1"/>
  <c r="K635" i="13"/>
  <c r="K649" i="14"/>
  <c r="K398" i="15"/>
  <c r="K431" i="17"/>
  <c r="L57" i="18"/>
  <c r="L55" i="18" s="1"/>
  <c r="L53" i="18" s="1"/>
  <c r="K65" i="18"/>
  <c r="K81" i="18"/>
  <c r="K219" i="21"/>
  <c r="J519" i="1"/>
  <c r="N565" i="1"/>
  <c r="J322" i="1"/>
  <c r="J377" i="1"/>
  <c r="J362" i="1"/>
  <c r="J589" i="1"/>
  <c r="I342" i="1"/>
  <c r="K342" i="1" s="1"/>
  <c r="L351" i="1"/>
  <c r="O351" i="1" s="1"/>
  <c r="I468" i="1"/>
  <c r="K468" i="1" s="1"/>
  <c r="I479" i="1"/>
  <c r="K479" i="1" s="1"/>
  <c r="I489" i="1"/>
  <c r="K489" i="1" s="1"/>
  <c r="I506" i="1"/>
  <c r="K506" i="1" s="1"/>
  <c r="L551" i="1"/>
  <c r="I593" i="1"/>
  <c r="L47" i="1"/>
  <c r="I111" i="1"/>
  <c r="J134" i="1"/>
  <c r="L146" i="1"/>
  <c r="J155" i="1"/>
  <c r="J183" i="1"/>
  <c r="J196" i="1"/>
  <c r="I215" i="1"/>
  <c r="J281" i="1"/>
  <c r="J474" i="1"/>
  <c r="J492" i="1"/>
  <c r="J551" i="1"/>
  <c r="N553" i="1"/>
  <c r="J620" i="1"/>
  <c r="J630" i="1"/>
  <c r="N665" i="1"/>
  <c r="N668" i="1"/>
  <c r="N142" i="4"/>
  <c r="N140" i="4" s="1"/>
  <c r="K340" i="6"/>
  <c r="K343" i="6"/>
  <c r="O349" i="6"/>
  <c r="J673" i="1"/>
  <c r="P294" i="12"/>
  <c r="N314" i="1"/>
  <c r="K350" i="12"/>
  <c r="N120" i="15"/>
  <c r="N118" i="15" s="1"/>
  <c r="K368" i="19"/>
  <c r="K349" i="22"/>
  <c r="N568" i="1"/>
  <c r="I629" i="1"/>
  <c r="J368" i="1"/>
  <c r="N383" i="1"/>
  <c r="J662" i="1"/>
  <c r="I82" i="1"/>
  <c r="L380" i="1"/>
  <c r="L459" i="1"/>
  <c r="I470" i="1"/>
  <c r="K470" i="1" s="1"/>
  <c r="I480" i="1"/>
  <c r="K480" i="1" s="1"/>
  <c r="I491" i="1"/>
  <c r="K491" i="1" s="1"/>
  <c r="I515" i="1"/>
  <c r="K515" i="1" s="1"/>
  <c r="I576" i="1"/>
  <c r="K576" i="1" s="1"/>
  <c r="J263" i="1"/>
  <c r="J266" i="1"/>
  <c r="L296" i="1"/>
  <c r="J651" i="8"/>
  <c r="K651" i="8" s="1"/>
  <c r="K270" i="10"/>
  <c r="N96" i="11"/>
  <c r="N94" i="11" s="1"/>
  <c r="J651" i="14"/>
  <c r="K651" i="14" s="1"/>
  <c r="K427" i="15"/>
  <c r="J651" i="15"/>
  <c r="J671" i="20"/>
  <c r="K164" i="22"/>
  <c r="J561" i="1"/>
  <c r="I632" i="1"/>
  <c r="K632" i="1" s="1"/>
  <c r="J158" i="1"/>
  <c r="N401" i="1"/>
  <c r="N385" i="1"/>
  <c r="I370" i="1"/>
  <c r="I483" i="1"/>
  <c r="K483" i="1" s="1"/>
  <c r="I494" i="1"/>
  <c r="K494" i="1" s="1"/>
  <c r="I509" i="1"/>
  <c r="K509" i="1" s="1"/>
  <c r="M98" i="1"/>
  <c r="I117" i="1"/>
  <c r="I132" i="1"/>
  <c r="J157" i="1"/>
  <c r="J162" i="1"/>
  <c r="J171" i="1"/>
  <c r="I185" i="1"/>
  <c r="I199" i="1"/>
  <c r="J202" i="1"/>
  <c r="J211" i="1"/>
  <c r="I216" i="1"/>
  <c r="I235" i="1"/>
  <c r="K86" i="3"/>
  <c r="P45" i="8"/>
  <c r="K417" i="10"/>
  <c r="L45" i="13"/>
  <c r="O45" i="13" s="1"/>
  <c r="L275" i="13"/>
  <c r="L273" i="13" s="1"/>
  <c r="K340" i="21"/>
  <c r="N120" i="22"/>
  <c r="N118" i="22" s="1"/>
  <c r="I597" i="1"/>
  <c r="I616" i="1"/>
  <c r="J676" i="1"/>
  <c r="L347" i="1"/>
  <c r="J394" i="1"/>
  <c r="I615" i="1"/>
  <c r="N581" i="1"/>
  <c r="M275" i="1"/>
  <c r="I464" i="1"/>
  <c r="I471" i="1"/>
  <c r="K471" i="1" s="1"/>
  <c r="I485" i="1"/>
  <c r="K485" i="1" s="1"/>
  <c r="I495" i="1"/>
  <c r="K495" i="1" s="1"/>
  <c r="I500" i="1"/>
  <c r="K500" i="1" s="1"/>
  <c r="I511" i="1"/>
  <c r="K511" i="1" s="1"/>
  <c r="K350" i="2"/>
  <c r="K429" i="4"/>
  <c r="O435" i="4"/>
  <c r="O455" i="4"/>
  <c r="K92" i="5"/>
  <c r="L122" i="5"/>
  <c r="K201" i="5"/>
  <c r="K398" i="7"/>
  <c r="K564" i="7"/>
  <c r="N407" i="1"/>
  <c r="I430" i="1"/>
  <c r="J433" i="1"/>
  <c r="K164" i="11"/>
  <c r="K381" i="11"/>
  <c r="O385" i="12"/>
  <c r="K481" i="12"/>
  <c r="K631" i="13"/>
  <c r="K533" i="16"/>
  <c r="L70" i="19"/>
  <c r="O70" i="19" s="1"/>
  <c r="K370" i="19"/>
  <c r="O385" i="19"/>
  <c r="K429" i="19"/>
  <c r="O435" i="19"/>
  <c r="K449" i="19"/>
  <c r="O455" i="19"/>
  <c r="L275" i="20"/>
  <c r="O275" i="20" s="1"/>
  <c r="K629" i="20"/>
  <c r="K632" i="20"/>
  <c r="K635" i="20"/>
  <c r="K595" i="21"/>
  <c r="K630" i="21"/>
  <c r="I594" i="1"/>
  <c r="K594" i="1" s="1"/>
  <c r="L599" i="1"/>
  <c r="M292" i="3"/>
  <c r="M290" i="3" s="1"/>
  <c r="P290" i="3" s="1"/>
  <c r="P294" i="3"/>
  <c r="I618" i="1"/>
  <c r="I621" i="1"/>
  <c r="I624" i="1"/>
  <c r="I631" i="1"/>
  <c r="J646" i="1"/>
  <c r="N254" i="1"/>
  <c r="J265" i="1"/>
  <c r="N586" i="1"/>
  <c r="J596" i="1"/>
  <c r="J621" i="1"/>
  <c r="J628" i="1"/>
  <c r="J634" i="1"/>
  <c r="J655" i="1"/>
  <c r="I665" i="1"/>
  <c r="N61" i="1"/>
  <c r="J78" i="1"/>
  <c r="N441" i="1"/>
  <c r="J448" i="1"/>
  <c r="J455" i="1"/>
  <c r="N457" i="1"/>
  <c r="J465" i="1"/>
  <c r="J498" i="1"/>
  <c r="J501" i="1"/>
  <c r="J513" i="1"/>
  <c r="J516" i="1"/>
  <c r="J525" i="1"/>
  <c r="J531" i="1"/>
  <c r="N533" i="1"/>
  <c r="N536" i="1"/>
  <c r="J547" i="1"/>
  <c r="J391" i="1"/>
  <c r="L455" i="1"/>
  <c r="N462" i="1"/>
  <c r="J468" i="1"/>
  <c r="J471" i="1"/>
  <c r="J483" i="1"/>
  <c r="J489" i="1"/>
  <c r="J495" i="1"/>
  <c r="J659" i="1"/>
  <c r="M57" i="1"/>
  <c r="M55" i="1" s="1"/>
  <c r="J301" i="1"/>
  <c r="J306" i="1"/>
  <c r="N408" i="1"/>
  <c r="J421" i="1"/>
  <c r="J424" i="1"/>
  <c r="J434" i="1"/>
  <c r="N436" i="1"/>
  <c r="N439" i="1"/>
  <c r="J446" i="1"/>
  <c r="J450" i="1"/>
  <c r="J454" i="1"/>
  <c r="J464" i="1"/>
  <c r="J467" i="1"/>
  <c r="I373" i="1"/>
  <c r="K373" i="1" s="1"/>
  <c r="L382" i="1"/>
  <c r="O382" i="1" s="1"/>
  <c r="L565" i="1"/>
  <c r="O565" i="1" s="1"/>
  <c r="I648" i="1"/>
  <c r="N228" i="1"/>
  <c r="N318" i="1"/>
  <c r="L334" i="1"/>
  <c r="I340" i="1"/>
  <c r="L349" i="1"/>
  <c r="L352" i="1"/>
  <c r="N355" i="1"/>
  <c r="J370" i="1"/>
  <c r="J373" i="1"/>
  <c r="J376" i="1"/>
  <c r="J592" i="1"/>
  <c r="N600" i="1"/>
  <c r="J611" i="1"/>
  <c r="J623" i="1"/>
  <c r="N648" i="1"/>
  <c r="J653" i="1"/>
  <c r="J667" i="1"/>
  <c r="J674" i="1"/>
  <c r="J105" i="1"/>
  <c r="J117" i="1"/>
  <c r="M122" i="1"/>
  <c r="J128" i="1"/>
  <c r="J233" i="1"/>
  <c r="J648" i="1"/>
  <c r="N649" i="1"/>
  <c r="N49" i="1"/>
  <c r="J64" i="1"/>
  <c r="J490" i="1"/>
  <c r="J493" i="1"/>
  <c r="I596" i="1"/>
  <c r="K596" i="1" s="1"/>
  <c r="I376" i="1"/>
  <c r="J79" i="1"/>
  <c r="J85" i="1"/>
  <c r="J93" i="1"/>
  <c r="N558" i="1"/>
  <c r="I564" i="1"/>
  <c r="N569" i="1"/>
  <c r="J236" i="1"/>
  <c r="J469" i="1"/>
  <c r="J484" i="1"/>
  <c r="I578" i="1"/>
  <c r="K578" i="1" s="1"/>
  <c r="L598" i="1"/>
  <c r="O598" i="1" s="1"/>
  <c r="L57" i="2"/>
  <c r="O57" i="2" s="1"/>
  <c r="J505" i="1"/>
  <c r="J508" i="1"/>
  <c r="J511" i="1"/>
  <c r="J517" i="1"/>
  <c r="J523" i="1"/>
  <c r="J529" i="1"/>
  <c r="N534" i="1"/>
  <c r="N537" i="1"/>
  <c r="J544" i="1"/>
  <c r="J380" i="1"/>
  <c r="J392" i="1"/>
  <c r="K397" i="2"/>
  <c r="N403" i="1"/>
  <c r="N406" i="1"/>
  <c r="J417" i="1"/>
  <c r="J420" i="1"/>
  <c r="J423" i="1"/>
  <c r="J426" i="1"/>
  <c r="J429" i="1"/>
  <c r="J432" i="1"/>
  <c r="N435" i="1"/>
  <c r="I612" i="1"/>
  <c r="N292" i="3"/>
  <c r="N290" i="3" s="1"/>
  <c r="N438" i="1"/>
  <c r="J449" i="1"/>
  <c r="J452" i="1"/>
  <c r="N455" i="1"/>
  <c r="N458" i="1"/>
  <c r="N463" i="1"/>
  <c r="I397" i="1"/>
  <c r="I401" i="1"/>
  <c r="I426" i="1"/>
  <c r="K401" i="5"/>
  <c r="L254" i="7"/>
  <c r="O254" i="7" s="1"/>
  <c r="O535" i="9"/>
  <c r="L314" i="10"/>
  <c r="O314" i="10" s="1"/>
  <c r="K430" i="11"/>
  <c r="O459" i="11"/>
  <c r="K267" i="12"/>
  <c r="K229" i="14"/>
  <c r="K426" i="15"/>
  <c r="K629" i="16"/>
  <c r="I267" i="1"/>
  <c r="L276" i="1"/>
  <c r="J283" i="1"/>
  <c r="I289" i="1"/>
  <c r="I374" i="1"/>
  <c r="O380" i="2"/>
  <c r="O404" i="2"/>
  <c r="K418" i="2"/>
  <c r="K424" i="2"/>
  <c r="K235" i="3"/>
  <c r="K266" i="3"/>
  <c r="K424" i="3"/>
  <c r="O439" i="3"/>
  <c r="K663" i="6"/>
  <c r="N252" i="8"/>
  <c r="N250" i="8" s="1"/>
  <c r="J671" i="8"/>
  <c r="K671" i="8" s="1"/>
  <c r="N142" i="14"/>
  <c r="N140" i="14" s="1"/>
  <c r="K632" i="14"/>
  <c r="K619" i="16"/>
  <c r="L333" i="17"/>
  <c r="O333" i="17" s="1"/>
  <c r="K149" i="19"/>
  <c r="L275" i="19"/>
  <c r="L273" i="19" s="1"/>
  <c r="L271" i="19" s="1"/>
  <c r="O665" i="19"/>
  <c r="K450" i="20"/>
  <c r="K421" i="21"/>
  <c r="J671" i="22"/>
  <c r="I622" i="1"/>
  <c r="I651" i="1"/>
  <c r="J656" i="1"/>
  <c r="J326" i="1"/>
  <c r="N337" i="1"/>
  <c r="I158" i="1"/>
  <c r="J172" i="1"/>
  <c r="J185" i="1"/>
  <c r="J189" i="1"/>
  <c r="J203" i="1"/>
  <c r="J235" i="1"/>
  <c r="J246" i="1"/>
  <c r="N298" i="1"/>
  <c r="J304" i="1"/>
  <c r="J325" i="1"/>
  <c r="J340" i="1"/>
  <c r="N349" i="1"/>
  <c r="N352" i="1"/>
  <c r="N356" i="1"/>
  <c r="K497" i="5"/>
  <c r="P98" i="7"/>
  <c r="O568" i="9"/>
  <c r="L122" i="11"/>
  <c r="O122" i="11" s="1"/>
  <c r="N331" i="12"/>
  <c r="N329" i="12" s="1"/>
  <c r="N312" i="13"/>
  <c r="N310" i="13" s="1"/>
  <c r="K464" i="17"/>
  <c r="K497" i="17"/>
  <c r="N222" i="18"/>
  <c r="N220" i="18" s="1"/>
  <c r="O347" i="18"/>
  <c r="O404" i="18"/>
  <c r="I110" i="1"/>
  <c r="L224" i="2"/>
  <c r="L222" i="2" s="1"/>
  <c r="L220" i="2" s="1"/>
  <c r="K497" i="2"/>
  <c r="J625" i="1"/>
  <c r="L46" i="1"/>
  <c r="J65" i="1"/>
  <c r="M70" i="1"/>
  <c r="J76" i="1"/>
  <c r="J107" i="1"/>
  <c r="N122" i="1"/>
  <c r="J129" i="1"/>
  <c r="N144" i="1"/>
  <c r="J149" i="1"/>
  <c r="I164" i="1"/>
  <c r="I173" i="1"/>
  <c r="I186" i="1"/>
  <c r="I200" i="1"/>
  <c r="J232" i="1"/>
  <c r="J243" i="1"/>
  <c r="N258" i="1"/>
  <c r="N275" i="1"/>
  <c r="J287" i="1"/>
  <c r="L651" i="1"/>
  <c r="J651" i="3"/>
  <c r="K651" i="3" s="1"/>
  <c r="N661" i="1"/>
  <c r="J671" i="3"/>
  <c r="K671" i="3" s="1"/>
  <c r="N70" i="1"/>
  <c r="J77" i="1"/>
  <c r="J81" i="1"/>
  <c r="J84" i="1"/>
  <c r="J92" i="1"/>
  <c r="N102" i="1"/>
  <c r="K108" i="4"/>
  <c r="J111" i="1"/>
  <c r="J115" i="1"/>
  <c r="N126" i="1"/>
  <c r="L224" i="4"/>
  <c r="L222" i="4" s="1"/>
  <c r="L220" i="4" s="1"/>
  <c r="K285" i="4"/>
  <c r="K350" i="6"/>
  <c r="J671" i="7"/>
  <c r="L294" i="8"/>
  <c r="O294" i="8" s="1"/>
  <c r="L314" i="8"/>
  <c r="L312" i="8" s="1"/>
  <c r="K149" i="9"/>
  <c r="K429" i="9"/>
  <c r="J671" i="9"/>
  <c r="N222" i="10"/>
  <c r="N220" i="10" s="1"/>
  <c r="K449" i="11"/>
  <c r="K481" i="11"/>
  <c r="K229" i="12"/>
  <c r="K235" i="12"/>
  <c r="K266" i="12"/>
  <c r="J651" i="12"/>
  <c r="K651" i="12" s="1"/>
  <c r="K229" i="15"/>
  <c r="O601" i="16"/>
  <c r="K427" i="17"/>
  <c r="L333" i="19"/>
  <c r="O333" i="19" s="1"/>
  <c r="K340" i="19"/>
  <c r="O533" i="21"/>
  <c r="J651" i="21"/>
  <c r="K651" i="21" s="1"/>
  <c r="L145" i="1"/>
  <c r="J173" i="1"/>
  <c r="I498" i="1"/>
  <c r="O533" i="2"/>
  <c r="I551" i="1"/>
  <c r="L553" i="1"/>
  <c r="N604" i="1"/>
  <c r="I614" i="1"/>
  <c r="I617" i="1"/>
  <c r="I623" i="1"/>
  <c r="I626" i="1"/>
  <c r="I630" i="1"/>
  <c r="I633" i="1"/>
  <c r="N651" i="1"/>
  <c r="N671" i="1"/>
  <c r="L144" i="3"/>
  <c r="O144" i="3" s="1"/>
  <c r="L275" i="3"/>
  <c r="L273" i="3" s="1"/>
  <c r="L271" i="3" s="1"/>
  <c r="J479" i="1"/>
  <c r="J497" i="1"/>
  <c r="J500" i="1"/>
  <c r="J503" i="1"/>
  <c r="J509" i="1"/>
  <c r="J515" i="1"/>
  <c r="J518" i="1"/>
  <c r="J521" i="1"/>
  <c r="J527" i="1"/>
  <c r="J533" i="1"/>
  <c r="N535" i="1"/>
  <c r="N539" i="1"/>
  <c r="J546" i="1"/>
  <c r="J550" i="1"/>
  <c r="N555" i="1"/>
  <c r="J560" i="1"/>
  <c r="N564" i="1"/>
  <c r="N572" i="1"/>
  <c r="J576" i="1"/>
  <c r="K117" i="4"/>
  <c r="K396" i="4"/>
  <c r="K422" i="4"/>
  <c r="O437" i="4"/>
  <c r="K425" i="5"/>
  <c r="O457" i="5"/>
  <c r="K465" i="5"/>
  <c r="N32" i="6"/>
  <c r="N30" i="6" s="1"/>
  <c r="O597" i="7"/>
  <c r="N55" i="8"/>
  <c r="N53" i="8" s="1"/>
  <c r="O601" i="8"/>
  <c r="K634" i="8"/>
  <c r="K427" i="9"/>
  <c r="N55" i="10"/>
  <c r="N53" i="10" s="1"/>
  <c r="O537" i="10"/>
  <c r="K499" i="11"/>
  <c r="K564" i="11"/>
  <c r="K632" i="11"/>
  <c r="K635" i="11"/>
  <c r="K93" i="12"/>
  <c r="N96" i="12"/>
  <c r="N94" i="12" s="1"/>
  <c r="K473" i="12"/>
  <c r="K595" i="12"/>
  <c r="K630" i="12"/>
  <c r="K401" i="13"/>
  <c r="O406" i="13"/>
  <c r="K423" i="13"/>
  <c r="K429" i="13"/>
  <c r="K349" i="15"/>
  <c r="K474" i="15"/>
  <c r="O455" i="16"/>
  <c r="K189" i="17"/>
  <c r="K372" i="17"/>
  <c r="K375" i="17"/>
  <c r="K416" i="17"/>
  <c r="P57" i="18"/>
  <c r="O74" i="18"/>
  <c r="K83" i="18"/>
  <c r="L57" i="20"/>
  <c r="O57" i="20" s="1"/>
  <c r="N96" i="20"/>
  <c r="N94" i="20" s="1"/>
  <c r="K189" i="20"/>
  <c r="M96" i="8"/>
  <c r="P96" i="8" s="1"/>
  <c r="P98" i="8"/>
  <c r="I344" i="1"/>
  <c r="K344" i="1" s="1"/>
  <c r="I371" i="1"/>
  <c r="K371" i="1" s="1"/>
  <c r="I475" i="1"/>
  <c r="K475" i="1" s="1"/>
  <c r="I493" i="1"/>
  <c r="K493" i="1" s="1"/>
  <c r="I507" i="1"/>
  <c r="K507" i="1" s="1"/>
  <c r="I579" i="1"/>
  <c r="K579" i="1" s="1"/>
  <c r="L582" i="1"/>
  <c r="I590" i="1"/>
  <c r="K590" i="1" s="1"/>
  <c r="I611" i="1"/>
  <c r="L74" i="1"/>
  <c r="I80" i="1"/>
  <c r="J163" i="1"/>
  <c r="J241" i="1"/>
  <c r="L277" i="1"/>
  <c r="K340" i="2"/>
  <c r="J343" i="1"/>
  <c r="J346" i="1"/>
  <c r="N443" i="1"/>
  <c r="J590" i="1"/>
  <c r="K611" i="2"/>
  <c r="K614" i="2"/>
  <c r="L45" i="3"/>
  <c r="O45" i="3" s="1"/>
  <c r="J658" i="1"/>
  <c r="J672" i="1"/>
  <c r="O406" i="4"/>
  <c r="K420" i="4"/>
  <c r="K173" i="5"/>
  <c r="K304" i="5"/>
  <c r="I85" i="1"/>
  <c r="M144" i="1"/>
  <c r="P144" i="1" s="1"/>
  <c r="J397" i="1"/>
  <c r="I484" i="1"/>
  <c r="K484" i="1" s="1"/>
  <c r="I580" i="1"/>
  <c r="I649" i="1"/>
  <c r="L668" i="1"/>
  <c r="L61" i="1"/>
  <c r="O61" i="1" s="1"/>
  <c r="J217" i="1"/>
  <c r="I265" i="1"/>
  <c r="K289" i="2"/>
  <c r="J364" i="1"/>
  <c r="J415" i="1"/>
  <c r="J427" i="1"/>
  <c r="J472" i="1"/>
  <c r="J478" i="1"/>
  <c r="N587" i="1"/>
  <c r="J666" i="1"/>
  <c r="N120" i="4"/>
  <c r="P120" i="4" s="1"/>
  <c r="N252" i="4"/>
  <c r="N250" i="4" s="1"/>
  <c r="K631" i="4"/>
  <c r="K369" i="16"/>
  <c r="I367" i="16"/>
  <c r="K367" i="16" s="1"/>
  <c r="I93" i="1"/>
  <c r="J108" i="1"/>
  <c r="I244" i="1"/>
  <c r="K244" i="1" s="1"/>
  <c r="L403" i="1"/>
  <c r="O403" i="1" s="1"/>
  <c r="I429" i="1"/>
  <c r="I449" i="1"/>
  <c r="L458" i="1"/>
  <c r="O458" i="1" s="1"/>
  <c r="I504" i="1"/>
  <c r="K504" i="1" s="1"/>
  <c r="I513" i="1"/>
  <c r="K513" i="1" s="1"/>
  <c r="L580" i="1"/>
  <c r="I592" i="1"/>
  <c r="K592" i="1" s="1"/>
  <c r="L100" i="1"/>
  <c r="J110" i="1"/>
  <c r="J113" i="1"/>
  <c r="P122" i="2"/>
  <c r="J261" i="1"/>
  <c r="K306" i="2"/>
  <c r="J647" i="1"/>
  <c r="J670" i="1"/>
  <c r="L333" i="3"/>
  <c r="O333" i="3" s="1"/>
  <c r="K499" i="3"/>
  <c r="N55" i="4"/>
  <c r="N53" i="4" s="1"/>
  <c r="K110" i="4"/>
  <c r="P333" i="4"/>
  <c r="K349" i="4"/>
  <c r="K372" i="4"/>
  <c r="K375" i="4"/>
  <c r="O580" i="4"/>
  <c r="J671" i="4"/>
  <c r="K671" i="4" s="1"/>
  <c r="N312" i="5"/>
  <c r="P45" i="6"/>
  <c r="M43" i="6"/>
  <c r="L49" i="1"/>
  <c r="I65" i="1"/>
  <c r="I81" i="1"/>
  <c r="I86" i="1"/>
  <c r="L298" i="1"/>
  <c r="L318" i="1"/>
  <c r="O318" i="1" s="1"/>
  <c r="L353" i="1"/>
  <c r="O353" i="1" s="1"/>
  <c r="I472" i="1"/>
  <c r="K472" i="1" s="1"/>
  <c r="I501" i="1"/>
  <c r="K501" i="1" s="1"/>
  <c r="L533" i="1"/>
  <c r="I650" i="1"/>
  <c r="I663" i="1"/>
  <c r="I64" i="1"/>
  <c r="P70" i="2"/>
  <c r="J87" i="1"/>
  <c r="J488" i="1"/>
  <c r="J494" i="1"/>
  <c r="P122" i="7"/>
  <c r="M120" i="7"/>
  <c r="M118" i="7" s="1"/>
  <c r="P118" i="7" s="1"/>
  <c r="P224" i="8"/>
  <c r="M222" i="8"/>
  <c r="M220" i="8" s="1"/>
  <c r="P220" i="8" s="1"/>
  <c r="I88" i="1"/>
  <c r="I346" i="1"/>
  <c r="K346" i="1" s="1"/>
  <c r="I487" i="1"/>
  <c r="K487" i="1" s="1"/>
  <c r="I510" i="1"/>
  <c r="K510" i="1" s="1"/>
  <c r="I577" i="1"/>
  <c r="K577" i="1" s="1"/>
  <c r="L581" i="1"/>
  <c r="O581" i="1" s="1"/>
  <c r="I589" i="1"/>
  <c r="I620" i="1"/>
  <c r="J650" i="1"/>
  <c r="L71" i="1"/>
  <c r="N461" i="1"/>
  <c r="K474" i="2"/>
  <c r="K616" i="2"/>
  <c r="K619" i="2"/>
  <c r="L57" i="3"/>
  <c r="O57" i="3" s="1"/>
  <c r="K432" i="3"/>
  <c r="K466" i="3"/>
  <c r="K474" i="3"/>
  <c r="O535" i="3"/>
  <c r="K629" i="3"/>
  <c r="K635" i="3"/>
  <c r="O671" i="3"/>
  <c r="K229" i="4"/>
  <c r="K235" i="4"/>
  <c r="K267" i="4"/>
  <c r="L275" i="4"/>
  <c r="O275" i="4" s="1"/>
  <c r="L333" i="4"/>
  <c r="L331" i="4" s="1"/>
  <c r="K340" i="4"/>
  <c r="O352" i="4"/>
  <c r="K380" i="4"/>
  <c r="O564" i="4"/>
  <c r="O584" i="4"/>
  <c r="K613" i="4"/>
  <c r="K630" i="4"/>
  <c r="K633" i="4"/>
  <c r="K109" i="5"/>
  <c r="K138" i="5"/>
  <c r="K149" i="5"/>
  <c r="O354" i="5"/>
  <c r="K396" i="5"/>
  <c r="K201" i="6"/>
  <c r="K285" i="6"/>
  <c r="L294" i="6"/>
  <c r="L292" i="6" s="1"/>
  <c r="K573" i="6"/>
  <c r="K397" i="7"/>
  <c r="N222" i="8"/>
  <c r="N220" i="8" s="1"/>
  <c r="L254" i="8"/>
  <c r="O254" i="8" s="1"/>
  <c r="K285" i="8"/>
  <c r="K349" i="8"/>
  <c r="K635" i="8"/>
  <c r="L122" i="10"/>
  <c r="O122" i="10" s="1"/>
  <c r="K401" i="11"/>
  <c r="L275" i="12"/>
  <c r="O275" i="12" s="1"/>
  <c r="O383" i="14"/>
  <c r="O404" i="14"/>
  <c r="K421" i="14"/>
  <c r="O385" i="15"/>
  <c r="K397" i="15"/>
  <c r="L333" i="16"/>
  <c r="O333" i="16" s="1"/>
  <c r="K340" i="16"/>
  <c r="K611" i="16"/>
  <c r="K617" i="17"/>
  <c r="K455" i="19"/>
  <c r="K465" i="19"/>
  <c r="L70" i="20"/>
  <c r="O70" i="20" s="1"/>
  <c r="L144" i="20"/>
  <c r="O144" i="20" s="1"/>
  <c r="N252" i="20"/>
  <c r="N250" i="20" s="1"/>
  <c r="L45" i="21"/>
  <c r="O45" i="21" s="1"/>
  <c r="K173" i="21"/>
  <c r="K200" i="21"/>
  <c r="K265" i="21"/>
  <c r="K368" i="21"/>
  <c r="O459" i="21"/>
  <c r="K473" i="21"/>
  <c r="O537" i="21"/>
  <c r="O566" i="21"/>
  <c r="K597" i="21"/>
  <c r="K629" i="21"/>
  <c r="K668" i="21"/>
  <c r="N55" i="22"/>
  <c r="N53" i="22" s="1"/>
  <c r="P275" i="22"/>
  <c r="K368" i="22"/>
  <c r="K634" i="22"/>
  <c r="N43" i="9"/>
  <c r="N41" i="9" s="1"/>
  <c r="O404" i="9"/>
  <c r="K430" i="9"/>
  <c r="N252" i="15"/>
  <c r="N250" i="15" s="1"/>
  <c r="O349" i="15"/>
  <c r="O406" i="15"/>
  <c r="K417" i="15"/>
  <c r="K420" i="15"/>
  <c r="O533" i="15"/>
  <c r="O568" i="15"/>
  <c r="K573" i="15"/>
  <c r="K173" i="16"/>
  <c r="K380" i="16"/>
  <c r="K419" i="16"/>
  <c r="O457" i="16"/>
  <c r="P224" i="17"/>
  <c r="K229" i="17"/>
  <c r="O566" i="17"/>
  <c r="L314" i="18"/>
  <c r="O314" i="18" s="1"/>
  <c r="P98" i="19"/>
  <c r="O354" i="19"/>
  <c r="K474" i="19"/>
  <c r="K497" i="19"/>
  <c r="O580" i="19"/>
  <c r="K597" i="19"/>
  <c r="O599" i="20"/>
  <c r="P122" i="21"/>
  <c r="K266" i="21"/>
  <c r="N312" i="22"/>
  <c r="N310" i="22" s="1"/>
  <c r="J651" i="5"/>
  <c r="J651" i="6"/>
  <c r="J671" i="6"/>
  <c r="K671" i="6" s="1"/>
  <c r="P254" i="7"/>
  <c r="K430" i="7"/>
  <c r="K235" i="10"/>
  <c r="L45" i="11"/>
  <c r="L43" i="11" s="1"/>
  <c r="K432" i="12"/>
  <c r="K449" i="12"/>
  <c r="L45" i="14"/>
  <c r="O45" i="14" s="1"/>
  <c r="K396" i="14"/>
  <c r="K402" i="14"/>
  <c r="K425" i="14"/>
  <c r="K435" i="14"/>
  <c r="K615" i="20"/>
  <c r="O665" i="20"/>
  <c r="O566" i="22"/>
  <c r="O383" i="5"/>
  <c r="O435" i="5"/>
  <c r="K547" i="5"/>
  <c r="K249" i="6"/>
  <c r="K422" i="7"/>
  <c r="O349" i="10"/>
  <c r="K370" i="10"/>
  <c r="K402" i="11"/>
  <c r="O457" i="11"/>
  <c r="K617" i="11"/>
  <c r="K633" i="11"/>
  <c r="N142" i="12"/>
  <c r="N140" i="12" s="1"/>
  <c r="K189" i="14"/>
  <c r="N222" i="14"/>
  <c r="N220" i="14" s="1"/>
  <c r="P220" i="14" s="1"/>
  <c r="O597" i="14"/>
  <c r="K189" i="15"/>
  <c r="K215" i="15"/>
  <c r="K499" i="15"/>
  <c r="K111" i="16"/>
  <c r="K249" i="17"/>
  <c r="L314" i="17"/>
  <c r="L312" i="17" s="1"/>
  <c r="O312" i="17" s="1"/>
  <c r="K328" i="17"/>
  <c r="K309" i="18"/>
  <c r="K340" i="18"/>
  <c r="K380" i="18"/>
  <c r="K593" i="18"/>
  <c r="O601" i="18"/>
  <c r="K110" i="19"/>
  <c r="K589" i="19"/>
  <c r="O597" i="19"/>
  <c r="L45" i="20"/>
  <c r="O45" i="20" s="1"/>
  <c r="L294" i="20"/>
  <c r="L292" i="20" s="1"/>
  <c r="K430" i="20"/>
  <c r="O568" i="20"/>
  <c r="K633" i="20"/>
  <c r="K65" i="21"/>
  <c r="K372" i="21"/>
  <c r="K428" i="21"/>
  <c r="N68" i="22"/>
  <c r="N66" i="22" s="1"/>
  <c r="O564" i="22"/>
  <c r="O597" i="22"/>
  <c r="K345" i="5"/>
  <c r="O404" i="5"/>
  <c r="K421" i="5"/>
  <c r="K464" i="5"/>
  <c r="K482" i="5"/>
  <c r="K617" i="5"/>
  <c r="L144" i="6"/>
  <c r="O144" i="6" s="1"/>
  <c r="K372" i="6"/>
  <c r="K381" i="6"/>
  <c r="K464" i="6"/>
  <c r="K629" i="6"/>
  <c r="K345" i="7"/>
  <c r="K449" i="9"/>
  <c r="O533" i="9"/>
  <c r="K633" i="9"/>
  <c r="N68" i="10"/>
  <c r="N66" i="10" s="1"/>
  <c r="K213" i="10"/>
  <c r="L144" i="11"/>
  <c r="O144" i="11" s="1"/>
  <c r="K498" i="11"/>
  <c r="O533" i="11"/>
  <c r="O601" i="11"/>
  <c r="K112" i="12"/>
  <c r="O349" i="12"/>
  <c r="K235" i="14"/>
  <c r="L254" i="14"/>
  <c r="O254" i="14" s="1"/>
  <c r="K397" i="14"/>
  <c r="K401" i="14"/>
  <c r="O406" i="14"/>
  <c r="O455" i="14"/>
  <c r="K396" i="15"/>
  <c r="P224" i="16"/>
  <c r="K328" i="16"/>
  <c r="O597" i="16"/>
  <c r="M68" i="17"/>
  <c r="M66" i="17" s="1"/>
  <c r="K117" i="17"/>
  <c r="N331" i="17"/>
  <c r="N329" i="17" s="1"/>
  <c r="K376" i="17"/>
  <c r="K380" i="17"/>
  <c r="O385" i="17"/>
  <c r="K420" i="17"/>
  <c r="K547" i="17"/>
  <c r="P224" i="18"/>
  <c r="K235" i="18"/>
  <c r="K421" i="18"/>
  <c r="K424" i="18"/>
  <c r="O439" i="18"/>
  <c r="K450" i="18"/>
  <c r="K464" i="18"/>
  <c r="K377" i="19"/>
  <c r="O383" i="19"/>
  <c r="K398" i="19"/>
  <c r="O401" i="19"/>
  <c r="K427" i="19"/>
  <c r="O533" i="19"/>
  <c r="K547" i="19"/>
  <c r="N33" i="19"/>
  <c r="N13" i="19" s="1"/>
  <c r="K200" i="20"/>
  <c r="N273" i="20"/>
  <c r="N271" i="20" s="1"/>
  <c r="K425" i="20"/>
  <c r="O537" i="20"/>
  <c r="K189" i="21"/>
  <c r="K376" i="21"/>
  <c r="K380" i="21"/>
  <c r="O406" i="21"/>
  <c r="O435" i="21"/>
  <c r="O455" i="21"/>
  <c r="K547" i="21"/>
  <c r="K593" i="21"/>
  <c r="K199" i="22"/>
  <c r="O349" i="22"/>
  <c r="K149" i="2"/>
  <c r="K499" i="2"/>
  <c r="O537" i="2"/>
  <c r="O551" i="2"/>
  <c r="K564" i="2"/>
  <c r="O597" i="2"/>
  <c r="K618" i="2"/>
  <c r="J651" i="2"/>
  <c r="K93" i="4"/>
  <c r="K132" i="4"/>
  <c r="K138" i="4"/>
  <c r="K185" i="4"/>
  <c r="K216" i="4"/>
  <c r="O337" i="4"/>
  <c r="O347" i="4"/>
  <c r="M312" i="9"/>
  <c r="P312" i="9" s="1"/>
  <c r="P314" i="9"/>
  <c r="L566" i="1"/>
  <c r="N68" i="2"/>
  <c r="N66" i="2" s="1"/>
  <c r="K133" i="2"/>
  <c r="N142" i="2"/>
  <c r="N140" i="2" s="1"/>
  <c r="K173" i="2"/>
  <c r="K186" i="2"/>
  <c r="K200" i="2"/>
  <c r="O298" i="2"/>
  <c r="K304" i="2"/>
  <c r="N31" i="2"/>
  <c r="N29" i="2" s="1"/>
  <c r="J419" i="1"/>
  <c r="K455" i="2"/>
  <c r="O457" i="2"/>
  <c r="K473" i="2"/>
  <c r="K624" i="2"/>
  <c r="M96" i="3"/>
  <c r="P96" i="3" s="1"/>
  <c r="N120" i="3"/>
  <c r="N118" i="3" s="1"/>
  <c r="K158" i="3"/>
  <c r="K176" i="3"/>
  <c r="K185" i="3"/>
  <c r="K264" i="3"/>
  <c r="K430" i="3"/>
  <c r="O564" i="3"/>
  <c r="J668" i="1"/>
  <c r="L316" i="1"/>
  <c r="K398" i="4"/>
  <c r="I482" i="1"/>
  <c r="O597" i="4"/>
  <c r="J614" i="1"/>
  <c r="J626" i="1"/>
  <c r="N387" i="1"/>
  <c r="L98" i="6"/>
  <c r="L96" i="6" s="1"/>
  <c r="O96" i="6" s="1"/>
  <c r="M312" i="6"/>
  <c r="P312" i="6" s="1"/>
  <c r="I419" i="1"/>
  <c r="K422" i="6"/>
  <c r="J473" i="1"/>
  <c r="O535" i="6"/>
  <c r="J578" i="1"/>
  <c r="N599" i="1"/>
  <c r="K632" i="6"/>
  <c r="K635" i="6"/>
  <c r="K665" i="6"/>
  <c r="O49" i="7"/>
  <c r="N31" i="7"/>
  <c r="N29" i="7" s="1"/>
  <c r="K416" i="7"/>
  <c r="K425" i="7"/>
  <c r="K428" i="7"/>
  <c r="K497" i="7"/>
  <c r="K533" i="7"/>
  <c r="O566" i="7"/>
  <c r="K92" i="2"/>
  <c r="K341" i="2"/>
  <c r="K380" i="2"/>
  <c r="K420" i="2"/>
  <c r="O535" i="2"/>
  <c r="O555" i="2"/>
  <c r="K560" i="2"/>
  <c r="O564" i="2"/>
  <c r="K635" i="2"/>
  <c r="N55" i="3"/>
  <c r="N53" i="3" s="1"/>
  <c r="L122" i="3"/>
  <c r="L120" i="3" s="1"/>
  <c r="L118" i="3" s="1"/>
  <c r="O118" i="3" s="1"/>
  <c r="N142" i="3"/>
  <c r="N140" i="3" s="1"/>
  <c r="K200" i="3"/>
  <c r="K204" i="3"/>
  <c r="N312" i="3"/>
  <c r="N310" i="3" s="1"/>
  <c r="K402" i="3"/>
  <c r="K419" i="3"/>
  <c r="K428" i="3"/>
  <c r="O457" i="3"/>
  <c r="K473" i="3"/>
  <c r="K481" i="3"/>
  <c r="O533" i="3"/>
  <c r="O597" i="3"/>
  <c r="K650" i="3"/>
  <c r="O665" i="3"/>
  <c r="L98" i="4"/>
  <c r="O98" i="4" s="1"/>
  <c r="K109" i="4"/>
  <c r="K173" i="4"/>
  <c r="K200" i="4"/>
  <c r="K204" i="4"/>
  <c r="P275" i="4"/>
  <c r="K381" i="4"/>
  <c r="K416" i="4"/>
  <c r="K424" i="4"/>
  <c r="K497" i="4"/>
  <c r="O568" i="4"/>
  <c r="L57" i="5"/>
  <c r="O57" i="5" s="1"/>
  <c r="K132" i="5"/>
  <c r="N222" i="5"/>
  <c r="N220" i="5" s="1"/>
  <c r="K285" i="5"/>
  <c r="K340" i="5"/>
  <c r="O568" i="5"/>
  <c r="K573" i="5"/>
  <c r="P122" i="6"/>
  <c r="K200" i="6"/>
  <c r="N222" i="6"/>
  <c r="N220" i="6" s="1"/>
  <c r="N273" i="6"/>
  <c r="N271" i="6" s="1"/>
  <c r="N331" i="6"/>
  <c r="N329" i="6" s="1"/>
  <c r="K370" i="6"/>
  <c r="K474" i="6"/>
  <c r="O597" i="6"/>
  <c r="N644" i="6"/>
  <c r="N640" i="6" s="1"/>
  <c r="N638" i="6" s="1"/>
  <c r="N636" i="6" s="1"/>
  <c r="K219" i="7"/>
  <c r="K343" i="7"/>
  <c r="K173" i="8"/>
  <c r="I428" i="1"/>
  <c r="J324" i="1"/>
  <c r="N601" i="1"/>
  <c r="J618" i="1"/>
  <c r="L406" i="1"/>
  <c r="I423" i="1"/>
  <c r="J477" i="1"/>
  <c r="N567" i="1"/>
  <c r="J593" i="1"/>
  <c r="N605" i="1"/>
  <c r="N597" i="1"/>
  <c r="K369" i="9"/>
  <c r="I367" i="9"/>
  <c r="K367" i="9" s="1"/>
  <c r="J671" i="2"/>
  <c r="K65" i="3"/>
  <c r="K138" i="3"/>
  <c r="K219" i="3"/>
  <c r="K341" i="3"/>
  <c r="L45" i="4"/>
  <c r="O45" i="4" s="1"/>
  <c r="L70" i="4"/>
  <c r="L68" i="4" s="1"/>
  <c r="O68" i="4" s="1"/>
  <c r="K92" i="4"/>
  <c r="K215" i="4"/>
  <c r="K397" i="4"/>
  <c r="K435" i="4"/>
  <c r="K451" i="4"/>
  <c r="O457" i="4"/>
  <c r="K498" i="4"/>
  <c r="O537" i="4"/>
  <c r="K629" i="4"/>
  <c r="K632" i="4"/>
  <c r="O661" i="4"/>
  <c r="K164" i="5"/>
  <c r="K199" i="5"/>
  <c r="K270" i="5"/>
  <c r="L314" i="5"/>
  <c r="L312" i="5" s="1"/>
  <c r="O385" i="5"/>
  <c r="J486" i="1"/>
  <c r="P57" i="6"/>
  <c r="K64" i="6"/>
  <c r="O380" i="6"/>
  <c r="O568" i="6"/>
  <c r="O601" i="6"/>
  <c r="K149" i="7"/>
  <c r="K235" i="7"/>
  <c r="N292" i="7"/>
  <c r="N290" i="7" s="1"/>
  <c r="K341" i="7"/>
  <c r="O401" i="7"/>
  <c r="K421" i="7"/>
  <c r="K424" i="7"/>
  <c r="O455" i="7"/>
  <c r="K547" i="7"/>
  <c r="K573" i="7"/>
  <c r="N585" i="1"/>
  <c r="K216" i="2"/>
  <c r="P275" i="2"/>
  <c r="L294" i="2"/>
  <c r="O294" i="2" s="1"/>
  <c r="O347" i="2"/>
  <c r="K372" i="2"/>
  <c r="K375" i="2"/>
  <c r="O383" i="2"/>
  <c r="O439" i="2"/>
  <c r="K450" i="2"/>
  <c r="K464" i="2"/>
  <c r="K481" i="2"/>
  <c r="J510" i="1"/>
  <c r="N584" i="1"/>
  <c r="O599" i="2"/>
  <c r="K615" i="2"/>
  <c r="J245" i="1"/>
  <c r="L254" i="3"/>
  <c r="O254" i="3" s="1"/>
  <c r="K270" i="3"/>
  <c r="K401" i="3"/>
  <c r="J649" i="1"/>
  <c r="L32" i="4"/>
  <c r="L30" i="4" s="1"/>
  <c r="O535" i="4"/>
  <c r="J610" i="1"/>
  <c r="J622" i="1"/>
  <c r="J635" i="1"/>
  <c r="J657" i="1"/>
  <c r="O668" i="4"/>
  <c r="L98" i="5"/>
  <c r="O98" i="5" s="1"/>
  <c r="K113" i="5"/>
  <c r="K213" i="5"/>
  <c r="J267" i="1"/>
  <c r="K309" i="5"/>
  <c r="O337" i="5"/>
  <c r="K350" i="5"/>
  <c r="O406" i="5"/>
  <c r="K426" i="5"/>
  <c r="K533" i="5"/>
  <c r="O347" i="6"/>
  <c r="O383" i="6"/>
  <c r="O401" i="6"/>
  <c r="J414" i="1"/>
  <c r="K418" i="6"/>
  <c r="K427" i="6"/>
  <c r="O439" i="6"/>
  <c r="J481" i="1"/>
  <c r="J612" i="1"/>
  <c r="K631" i="6"/>
  <c r="O650" i="6"/>
  <c r="K164" i="7"/>
  <c r="L224" i="7"/>
  <c r="L222" i="7" s="1"/>
  <c r="L220" i="7" s="1"/>
  <c r="K396" i="7"/>
  <c r="K450" i="7"/>
  <c r="L601" i="1"/>
  <c r="J528" i="1"/>
  <c r="M96" i="9"/>
  <c r="P96" i="9" s="1"/>
  <c r="P98" i="9"/>
  <c r="J480" i="1"/>
  <c r="I381" i="1"/>
  <c r="N409" i="1"/>
  <c r="K573" i="8"/>
  <c r="K416" i="10"/>
  <c r="K464" i="12"/>
  <c r="O584" i="12"/>
  <c r="K589" i="12"/>
  <c r="L70" i="13"/>
  <c r="O70" i="13" s="1"/>
  <c r="L70" i="14"/>
  <c r="L68" i="14" s="1"/>
  <c r="I516" i="1"/>
  <c r="I528" i="1"/>
  <c r="J661" i="1"/>
  <c r="J675" i="1"/>
  <c r="N74" i="1"/>
  <c r="O599" i="7"/>
  <c r="J609" i="1"/>
  <c r="N644" i="7"/>
  <c r="N640" i="7" s="1"/>
  <c r="N638" i="7" s="1"/>
  <c r="N636" i="7" s="1"/>
  <c r="L122" i="8"/>
  <c r="O122" i="8" s="1"/>
  <c r="L144" i="8"/>
  <c r="O144" i="8" s="1"/>
  <c r="K213" i="8"/>
  <c r="J264" i="1"/>
  <c r="J282" i="1"/>
  <c r="O352" i="8"/>
  <c r="K376" i="8"/>
  <c r="K397" i="8"/>
  <c r="O406" i="8"/>
  <c r="K423" i="8"/>
  <c r="K432" i="8"/>
  <c r="O435" i="8"/>
  <c r="J520" i="1"/>
  <c r="J532" i="1"/>
  <c r="K663" i="8"/>
  <c r="N541" i="1"/>
  <c r="O564" i="9"/>
  <c r="J613" i="1"/>
  <c r="K632" i="9"/>
  <c r="K635" i="9"/>
  <c r="O661" i="9"/>
  <c r="L144" i="10"/>
  <c r="O144" i="10" s="1"/>
  <c r="K285" i="10"/>
  <c r="J309" i="1"/>
  <c r="K368" i="10"/>
  <c r="K401" i="10"/>
  <c r="O406" i="10"/>
  <c r="I420" i="1"/>
  <c r="I432" i="1"/>
  <c r="O435" i="10"/>
  <c r="N571" i="1"/>
  <c r="L57" i="11"/>
  <c r="O57" i="11" s="1"/>
  <c r="M68" i="11"/>
  <c r="P68" i="11" s="1"/>
  <c r="L314" i="11"/>
  <c r="L312" i="11" s="1"/>
  <c r="K328" i="11"/>
  <c r="O337" i="11"/>
  <c r="K421" i="11"/>
  <c r="K424" i="11"/>
  <c r="K427" i="11"/>
  <c r="O439" i="11"/>
  <c r="K86" i="13"/>
  <c r="K402" i="13"/>
  <c r="K425" i="13"/>
  <c r="K455" i="13"/>
  <c r="K633" i="13"/>
  <c r="N34" i="14"/>
  <c r="N14" i="14" s="1"/>
  <c r="K380" i="14"/>
  <c r="L385" i="1"/>
  <c r="N552" i="1"/>
  <c r="M96" i="18"/>
  <c r="P96" i="18" s="1"/>
  <c r="P98" i="18"/>
  <c r="N120" i="19"/>
  <c r="N118" i="19" s="1"/>
  <c r="P70" i="9"/>
  <c r="K612" i="9"/>
  <c r="P70" i="10"/>
  <c r="J671" i="10"/>
  <c r="K671" i="10" s="1"/>
  <c r="N55" i="12"/>
  <c r="N53" i="12" s="1"/>
  <c r="P314" i="12"/>
  <c r="N222" i="13"/>
  <c r="P222" i="13" s="1"/>
  <c r="I520" i="1"/>
  <c r="I532" i="1"/>
  <c r="N120" i="16"/>
  <c r="N118" i="16" s="1"/>
  <c r="N142" i="16"/>
  <c r="N140" i="16" s="1"/>
  <c r="K616" i="7"/>
  <c r="K634" i="7"/>
  <c r="J269" i="1"/>
  <c r="J289" i="1"/>
  <c r="J453" i="1"/>
  <c r="J524" i="1"/>
  <c r="K229" i="9"/>
  <c r="K422" i="9"/>
  <c r="J617" i="1"/>
  <c r="N96" i="10"/>
  <c r="N94" i="10" s="1"/>
  <c r="K138" i="10"/>
  <c r="K649" i="10"/>
  <c r="N142" i="11"/>
  <c r="N140" i="11" s="1"/>
  <c r="I465" i="1"/>
  <c r="J579" i="1"/>
  <c r="O599" i="11"/>
  <c r="K164" i="12"/>
  <c r="K328" i="12"/>
  <c r="O406" i="12"/>
  <c r="K663" i="13"/>
  <c r="K158" i="14"/>
  <c r="K199" i="14"/>
  <c r="N312" i="14"/>
  <c r="N310" i="14" s="1"/>
  <c r="J393" i="1"/>
  <c r="N557" i="1"/>
  <c r="N222" i="15"/>
  <c r="N220" i="15" s="1"/>
  <c r="N273" i="15"/>
  <c r="N271" i="15" s="1"/>
  <c r="N331" i="15"/>
  <c r="N329" i="15" s="1"/>
  <c r="N404" i="1"/>
  <c r="L31" i="17"/>
  <c r="L29" i="17" s="1"/>
  <c r="N292" i="17"/>
  <c r="N290" i="17" s="1"/>
  <c r="O384" i="17"/>
  <c r="L33" i="17"/>
  <c r="O33" i="17" s="1"/>
  <c r="N22" i="19"/>
  <c r="N43" i="8"/>
  <c r="N41" i="8" s="1"/>
  <c r="K149" i="8"/>
  <c r="K199" i="8"/>
  <c r="K216" i="8"/>
  <c r="O533" i="8"/>
  <c r="O661" i="8"/>
  <c r="O671" i="8"/>
  <c r="L57" i="9"/>
  <c r="L55" i="9" s="1"/>
  <c r="L53" i="9" s="1"/>
  <c r="P144" i="9"/>
  <c r="K158" i="9"/>
  <c r="O401" i="9"/>
  <c r="K533" i="9"/>
  <c r="K663" i="9"/>
  <c r="K149" i="10"/>
  <c r="K189" i="10"/>
  <c r="K229" i="10"/>
  <c r="L275" i="10"/>
  <c r="L273" i="10" s="1"/>
  <c r="L271" i="10" s="1"/>
  <c r="O439" i="10"/>
  <c r="O535" i="10"/>
  <c r="K189" i="11"/>
  <c r="P224" i="11"/>
  <c r="K340" i="11"/>
  <c r="K380" i="11"/>
  <c r="K416" i="11"/>
  <c r="K425" i="11"/>
  <c r="K265" i="12"/>
  <c r="K341" i="12"/>
  <c r="O404" i="12"/>
  <c r="K430" i="12"/>
  <c r="K498" i="12"/>
  <c r="K629" i="12"/>
  <c r="K632" i="12"/>
  <c r="K648" i="12"/>
  <c r="N292" i="13"/>
  <c r="N290" i="13" s="1"/>
  <c r="O435" i="13"/>
  <c r="O455" i="13"/>
  <c r="K665" i="13"/>
  <c r="L122" i="14"/>
  <c r="O122" i="14" s="1"/>
  <c r="P144" i="14"/>
  <c r="N252" i="14"/>
  <c r="N250" i="14" s="1"/>
  <c r="N142" i="15"/>
  <c r="N140" i="15" s="1"/>
  <c r="J512" i="1"/>
  <c r="K624" i="15"/>
  <c r="J652" i="1"/>
  <c r="J669" i="1"/>
  <c r="N55" i="16"/>
  <c r="N53" i="16" s="1"/>
  <c r="O102" i="16"/>
  <c r="N96" i="21"/>
  <c r="N94" i="21" s="1"/>
  <c r="M252" i="22"/>
  <c r="P252" i="22" s="1"/>
  <c r="O564" i="14"/>
  <c r="J671" i="14"/>
  <c r="K671" i="14" s="1"/>
  <c r="K138" i="15"/>
  <c r="L275" i="15"/>
  <c r="O275" i="15" s="1"/>
  <c r="L333" i="15"/>
  <c r="L331" i="15" s="1"/>
  <c r="O331" i="15" s="1"/>
  <c r="O380" i="15"/>
  <c r="K432" i="15"/>
  <c r="O435" i="15"/>
  <c r="L45" i="16"/>
  <c r="L43" i="16" s="1"/>
  <c r="N96" i="16"/>
  <c r="N94" i="16" s="1"/>
  <c r="K109" i="16"/>
  <c r="K112" i="16"/>
  <c r="L254" i="16"/>
  <c r="O254" i="16" s="1"/>
  <c r="K497" i="16"/>
  <c r="N34" i="16"/>
  <c r="N14" i="16" s="1"/>
  <c r="K628" i="16"/>
  <c r="K631" i="16"/>
  <c r="K634" i="16"/>
  <c r="K83" i="17"/>
  <c r="K173" i="17"/>
  <c r="K265" i="17"/>
  <c r="K349" i="17"/>
  <c r="K428" i="17"/>
  <c r="K435" i="17"/>
  <c r="O599" i="17"/>
  <c r="K616" i="17"/>
  <c r="K629" i="17"/>
  <c r="K632" i="17"/>
  <c r="K635" i="17"/>
  <c r="O649" i="17"/>
  <c r="K176" i="18"/>
  <c r="L275" i="18"/>
  <c r="L273" i="18" s="1"/>
  <c r="L271" i="18" s="1"/>
  <c r="K289" i="18"/>
  <c r="K304" i="18"/>
  <c r="K341" i="18"/>
  <c r="K465" i="18"/>
  <c r="K474" i="18"/>
  <c r="K499" i="18"/>
  <c r="K428" i="19"/>
  <c r="N252" i="17"/>
  <c r="N250" i="17" s="1"/>
  <c r="K619" i="17"/>
  <c r="N312" i="18"/>
  <c r="N310" i="18" s="1"/>
  <c r="L32" i="20"/>
  <c r="L30" i="20" s="1"/>
  <c r="N120" i="20"/>
  <c r="N118" i="20" s="1"/>
  <c r="N142" i="20"/>
  <c r="N140" i="20" s="1"/>
  <c r="K611" i="20"/>
  <c r="K622" i="20"/>
  <c r="K87" i="21"/>
  <c r="L98" i="21"/>
  <c r="O98" i="21" s="1"/>
  <c r="K432" i="21"/>
  <c r="O347" i="22"/>
  <c r="K350" i="22"/>
  <c r="K547" i="22"/>
  <c r="K635" i="22"/>
  <c r="K328" i="14"/>
  <c r="O435" i="14"/>
  <c r="K498" i="14"/>
  <c r="K615" i="14"/>
  <c r="O649" i="14"/>
  <c r="K235" i="15"/>
  <c r="P254" i="15"/>
  <c r="K285" i="15"/>
  <c r="K430" i="15"/>
  <c r="O439" i="15"/>
  <c r="K464" i="15"/>
  <c r="K615" i="15"/>
  <c r="K110" i="16"/>
  <c r="P294" i="16"/>
  <c r="K430" i="16"/>
  <c r="K450" i="16"/>
  <c r="K498" i="16"/>
  <c r="K632" i="16"/>
  <c r="K648" i="16"/>
  <c r="L70" i="17"/>
  <c r="L68" i="17" s="1"/>
  <c r="L66" i="17" s="1"/>
  <c r="K270" i="17"/>
  <c r="O352" i="17"/>
  <c r="N34" i="17"/>
  <c r="N14" i="17" s="1"/>
  <c r="K432" i="17"/>
  <c r="O435" i="17"/>
  <c r="K465" i="17"/>
  <c r="K614" i="17"/>
  <c r="L98" i="18"/>
  <c r="O98" i="18" s="1"/>
  <c r="K186" i="18"/>
  <c r="L224" i="18"/>
  <c r="O224" i="18" s="1"/>
  <c r="K285" i="18"/>
  <c r="K417" i="18"/>
  <c r="K564" i="18"/>
  <c r="O566" i="18"/>
  <c r="N32" i="18"/>
  <c r="N30" i="18" s="1"/>
  <c r="P57" i="19"/>
  <c r="K189" i="19"/>
  <c r="K219" i="19"/>
  <c r="O349" i="19"/>
  <c r="K481" i="19"/>
  <c r="K635" i="19"/>
  <c r="K149" i="20"/>
  <c r="K199" i="20"/>
  <c r="K429" i="20"/>
  <c r="O566" i="20"/>
  <c r="K235" i="21"/>
  <c r="K377" i="21"/>
  <c r="O380" i="21"/>
  <c r="O404" i="21"/>
  <c r="K424" i="21"/>
  <c r="K633" i="21"/>
  <c r="K158" i="22"/>
  <c r="K173" i="22"/>
  <c r="L314" i="22"/>
  <c r="L312" i="22" s="1"/>
  <c r="O312" i="22" s="1"/>
  <c r="P333" i="22"/>
  <c r="O401" i="22"/>
  <c r="K624" i="22"/>
  <c r="P333" i="14"/>
  <c r="K424" i="14"/>
  <c r="K464" i="14"/>
  <c r="O566" i="14"/>
  <c r="O668" i="14"/>
  <c r="L224" i="15"/>
  <c r="O224" i="15" s="1"/>
  <c r="K249" i="15"/>
  <c r="O347" i="15"/>
  <c r="K368" i="15"/>
  <c r="K428" i="15"/>
  <c r="K431" i="15"/>
  <c r="K435" i="15"/>
  <c r="K465" i="15"/>
  <c r="K473" i="15"/>
  <c r="L294" i="16"/>
  <c r="L292" i="16" s="1"/>
  <c r="O648" i="16"/>
  <c r="K64" i="17"/>
  <c r="K149" i="17"/>
  <c r="K350" i="17"/>
  <c r="O401" i="17"/>
  <c r="K424" i="17"/>
  <c r="K430" i="17"/>
  <c r="K612" i="17"/>
  <c r="K631" i="17"/>
  <c r="K649" i="17"/>
  <c r="K663" i="17"/>
  <c r="N55" i="18"/>
  <c r="N53" i="18" s="1"/>
  <c r="L122" i="18"/>
  <c r="O122" i="18" s="1"/>
  <c r="K219" i="18"/>
  <c r="O459" i="18"/>
  <c r="K473" i="18"/>
  <c r="K591" i="18"/>
  <c r="N26" i="19"/>
  <c r="N16" i="19" s="1"/>
  <c r="K109" i="19"/>
  <c r="K133" i="19"/>
  <c r="K173" i="19"/>
  <c r="L224" i="19"/>
  <c r="O224" i="19" s="1"/>
  <c r="K249" i="19"/>
  <c r="K328" i="19"/>
  <c r="P333" i="19"/>
  <c r="O404" i="19"/>
  <c r="K421" i="19"/>
  <c r="K482" i="19"/>
  <c r="K499" i="19"/>
  <c r="K573" i="19"/>
  <c r="K630" i="19"/>
  <c r="J651" i="19"/>
  <c r="K421" i="20"/>
  <c r="O564" i="20"/>
  <c r="K628" i="20"/>
  <c r="N644" i="20"/>
  <c r="N640" i="20" s="1"/>
  <c r="N638" i="20" s="1"/>
  <c r="N636" i="20" s="1"/>
  <c r="P275" i="21"/>
  <c r="K328" i="21"/>
  <c r="K349" i="21"/>
  <c r="K375" i="21"/>
  <c r="K396" i="21"/>
  <c r="O437" i="21"/>
  <c r="K482" i="21"/>
  <c r="K497" i="21"/>
  <c r="K663" i="21"/>
  <c r="L122" i="22"/>
  <c r="O122" i="22" s="1"/>
  <c r="N273" i="22"/>
  <c r="N271" i="22" s="1"/>
  <c r="K375" i="22"/>
  <c r="K416" i="22"/>
  <c r="O439" i="22"/>
  <c r="O601" i="22"/>
  <c r="K631" i="22"/>
  <c r="I113" i="1"/>
  <c r="L256" i="1"/>
  <c r="L383" i="1"/>
  <c r="L456" i="1"/>
  <c r="O456" i="1" s="1"/>
  <c r="I490" i="1"/>
  <c r="K490" i="1" s="1"/>
  <c r="N34" i="2"/>
  <c r="N14" i="2" s="1"/>
  <c r="O385" i="2"/>
  <c r="L34" i="2"/>
  <c r="N222" i="3"/>
  <c r="N220" i="3" s="1"/>
  <c r="P224" i="3"/>
  <c r="J522" i="1"/>
  <c r="J526" i="1"/>
  <c r="J530" i="1"/>
  <c r="L58" i="1"/>
  <c r="I238" i="1"/>
  <c r="K238" i="1" s="1"/>
  <c r="I324" i="1"/>
  <c r="I375" i="1"/>
  <c r="I380" i="1"/>
  <c r="L436" i="1"/>
  <c r="O436" i="1" s="1"/>
  <c r="I452" i="1"/>
  <c r="K452" i="1" s="1"/>
  <c r="I481" i="1"/>
  <c r="I486" i="1"/>
  <c r="K486" i="1" s="1"/>
  <c r="J194" i="1"/>
  <c r="L665" i="1"/>
  <c r="O665" i="5"/>
  <c r="K663" i="3"/>
  <c r="J663" i="1"/>
  <c r="L258" i="1"/>
  <c r="O258" i="1" s="1"/>
  <c r="L315" i="1"/>
  <c r="I369" i="1"/>
  <c r="I477" i="1"/>
  <c r="K477" i="1" s="1"/>
  <c r="L552" i="1"/>
  <c r="O552" i="1" s="1"/>
  <c r="J631" i="1"/>
  <c r="M312" i="2"/>
  <c r="P314" i="2"/>
  <c r="I109" i="1"/>
  <c r="L228" i="1"/>
  <c r="O228" i="1" s="1"/>
  <c r="J401" i="1"/>
  <c r="I421" i="1"/>
  <c r="I367" i="2"/>
  <c r="K367" i="2" s="1"/>
  <c r="I229" i="1"/>
  <c r="I469" i="1"/>
  <c r="K469" i="1" s="1"/>
  <c r="I473" i="1"/>
  <c r="I478" i="1"/>
  <c r="K478" i="1" s="1"/>
  <c r="I561" i="1"/>
  <c r="K561" i="1" s="1"/>
  <c r="L584" i="1"/>
  <c r="O650" i="2"/>
  <c r="L650" i="1"/>
  <c r="J109" i="1"/>
  <c r="I201" i="1"/>
  <c r="I377" i="1"/>
  <c r="J396" i="1"/>
  <c r="I427" i="1"/>
  <c r="I591" i="1"/>
  <c r="J303" i="1"/>
  <c r="I112" i="1"/>
  <c r="I402" i="1"/>
  <c r="L439" i="1"/>
  <c r="I466" i="1"/>
  <c r="L314" i="4"/>
  <c r="O314" i="4" s="1"/>
  <c r="O671" i="4"/>
  <c r="L671" i="1"/>
  <c r="I84" i="1"/>
  <c r="L99" i="1"/>
  <c r="J260" i="1"/>
  <c r="K420" i="3"/>
  <c r="N32" i="4"/>
  <c r="N30" i="4" s="1"/>
  <c r="N410" i="1"/>
  <c r="K482" i="4"/>
  <c r="I628" i="1"/>
  <c r="K133" i="5"/>
  <c r="K375" i="5"/>
  <c r="K265" i="6"/>
  <c r="O406" i="6"/>
  <c r="P294" i="9"/>
  <c r="M292" i="9"/>
  <c r="P292" i="9" s="1"/>
  <c r="O382" i="9"/>
  <c r="L31" i="9"/>
  <c r="L29" i="9" s="1"/>
  <c r="L45" i="2"/>
  <c r="O45" i="2" s="1"/>
  <c r="K219" i="2"/>
  <c r="K229" i="2"/>
  <c r="K265" i="2"/>
  <c r="K285" i="2"/>
  <c r="J361" i="1"/>
  <c r="J367" i="1"/>
  <c r="K428" i="2"/>
  <c r="J507" i="1"/>
  <c r="K551" i="2"/>
  <c r="N33" i="2"/>
  <c r="N13" i="2" s="1"/>
  <c r="O568" i="2"/>
  <c r="L72" i="1"/>
  <c r="L294" i="3"/>
  <c r="L292" i="3" s="1"/>
  <c r="O292" i="3" s="1"/>
  <c r="K340" i="3"/>
  <c r="K343" i="3"/>
  <c r="O404" i="3"/>
  <c r="K421" i="3"/>
  <c r="K429" i="3"/>
  <c r="K449" i="3"/>
  <c r="K597" i="3"/>
  <c r="N98" i="1"/>
  <c r="J182" i="1"/>
  <c r="J188" i="1"/>
  <c r="K199" i="4"/>
  <c r="K350" i="4"/>
  <c r="K368" i="4"/>
  <c r="K418" i="4"/>
  <c r="K464" i="4"/>
  <c r="K547" i="4"/>
  <c r="O582" i="4"/>
  <c r="O599" i="4"/>
  <c r="K663" i="4"/>
  <c r="K110" i="5"/>
  <c r="L294" i="5"/>
  <c r="O294" i="5" s="1"/>
  <c r="K328" i="5"/>
  <c r="L333" i="5"/>
  <c r="L331" i="5" s="1"/>
  <c r="K368" i="5"/>
  <c r="O380" i="5"/>
  <c r="K397" i="5"/>
  <c r="O401" i="5"/>
  <c r="K428" i="5"/>
  <c r="K449" i="5"/>
  <c r="K466" i="5"/>
  <c r="O385" i="6"/>
  <c r="K424" i="6"/>
  <c r="K428" i="6"/>
  <c r="K111" i="2"/>
  <c r="J197" i="1"/>
  <c r="K401" i="2"/>
  <c r="I417" i="1"/>
  <c r="L226" i="1"/>
  <c r="J234" i="1"/>
  <c r="P314" i="3"/>
  <c r="K343" i="4"/>
  <c r="K426" i="4"/>
  <c r="P224" i="5"/>
  <c r="K498" i="5"/>
  <c r="O599" i="5"/>
  <c r="N120" i="6"/>
  <c r="N118" i="6" s="1"/>
  <c r="K199" i="6"/>
  <c r="K341" i="6"/>
  <c r="N96" i="2"/>
  <c r="N94" i="2" s="1"/>
  <c r="K117" i="2"/>
  <c r="J187" i="1"/>
  <c r="K204" i="2"/>
  <c r="N331" i="2"/>
  <c r="N329" i="2" s="1"/>
  <c r="K368" i="2"/>
  <c r="O401" i="2"/>
  <c r="K429" i="2"/>
  <c r="J504" i="1"/>
  <c r="K547" i="2"/>
  <c r="O566" i="2"/>
  <c r="O601" i="2"/>
  <c r="K633" i="2"/>
  <c r="L649" i="1"/>
  <c r="O74" i="3"/>
  <c r="N96" i="3"/>
  <c r="N94" i="3" s="1"/>
  <c r="L314" i="3"/>
  <c r="O314" i="3" s="1"/>
  <c r="K380" i="3"/>
  <c r="O401" i="3"/>
  <c r="K418" i="3"/>
  <c r="K422" i="3"/>
  <c r="K450" i="3"/>
  <c r="K498" i="3"/>
  <c r="O568" i="3"/>
  <c r="O601" i="3"/>
  <c r="O661" i="3"/>
  <c r="P122" i="4"/>
  <c r="L144" i="4"/>
  <c r="O144" i="4" s="1"/>
  <c r="K249" i="4"/>
  <c r="L254" i="4"/>
  <c r="O254" i="4" s="1"/>
  <c r="K264" i="4"/>
  <c r="N331" i="4"/>
  <c r="N329" i="4" s="1"/>
  <c r="K377" i="4"/>
  <c r="L34" i="4"/>
  <c r="K402" i="4"/>
  <c r="O459" i="4"/>
  <c r="K465" i="4"/>
  <c r="K499" i="4"/>
  <c r="O566" i="4"/>
  <c r="K589" i="4"/>
  <c r="K593" i="4"/>
  <c r="O649" i="4"/>
  <c r="K111" i="5"/>
  <c r="P122" i="5"/>
  <c r="N142" i="5"/>
  <c r="N140" i="5" s="1"/>
  <c r="O347" i="5"/>
  <c r="K377" i="5"/>
  <c r="K381" i="5"/>
  <c r="K402" i="5"/>
  <c r="K429" i="5"/>
  <c r="O437" i="5"/>
  <c r="K450" i="5"/>
  <c r="K474" i="5"/>
  <c r="K612" i="5"/>
  <c r="K628" i="5"/>
  <c r="N26" i="6"/>
  <c r="N16" i="6" s="1"/>
  <c r="K84" i="6"/>
  <c r="K173" i="6"/>
  <c r="K267" i="6"/>
  <c r="N312" i="6"/>
  <c r="N310" i="6" s="1"/>
  <c r="K345" i="6"/>
  <c r="O404" i="6"/>
  <c r="K421" i="6"/>
  <c r="L331" i="7"/>
  <c r="L329" i="7" s="1"/>
  <c r="N540" i="1"/>
  <c r="L583" i="1"/>
  <c r="O583" i="1" s="1"/>
  <c r="N45" i="1"/>
  <c r="J114" i="1"/>
  <c r="J216" i="1"/>
  <c r="N68" i="4"/>
  <c r="N66" i="4" s="1"/>
  <c r="K616" i="5"/>
  <c r="L31" i="6"/>
  <c r="L29" i="6" s="1"/>
  <c r="O29" i="6" s="1"/>
  <c r="P70" i="8"/>
  <c r="M68" i="8"/>
  <c r="M66" i="8" s="1"/>
  <c r="P66" i="8" s="1"/>
  <c r="K138" i="2"/>
  <c r="N252" i="2"/>
  <c r="P252" i="2" s="1"/>
  <c r="N312" i="2"/>
  <c r="N310" i="2" s="1"/>
  <c r="K398" i="2"/>
  <c r="K402" i="2"/>
  <c r="K426" i="2"/>
  <c r="J475" i="1"/>
  <c r="I517" i="1"/>
  <c r="I521" i="1"/>
  <c r="I525" i="1"/>
  <c r="K533" i="2"/>
  <c r="J580" i="1"/>
  <c r="K613" i="2"/>
  <c r="I625" i="1"/>
  <c r="K634" i="2"/>
  <c r="J372" i="1"/>
  <c r="K435" i="3"/>
  <c r="K464" i="3"/>
  <c r="J485" i="1"/>
  <c r="K547" i="3"/>
  <c r="J595" i="1"/>
  <c r="O102" i="4"/>
  <c r="K164" i="4"/>
  <c r="K201" i="4"/>
  <c r="N292" i="4"/>
  <c r="N290" i="4" s="1"/>
  <c r="K423" i="4"/>
  <c r="K427" i="4"/>
  <c r="K481" i="4"/>
  <c r="K533" i="4"/>
  <c r="K634" i="4"/>
  <c r="K93" i="5"/>
  <c r="K349" i="5"/>
  <c r="L32" i="5"/>
  <c r="L30" i="5" s="1"/>
  <c r="M22" i="6"/>
  <c r="M12" i="6" s="1"/>
  <c r="N331" i="10"/>
  <c r="N329" i="10" s="1"/>
  <c r="P333" i="10"/>
  <c r="J88" i="1"/>
  <c r="L122" i="2"/>
  <c r="O122" i="2" s="1"/>
  <c r="K185" i="2"/>
  <c r="K249" i="2"/>
  <c r="L254" i="2"/>
  <c r="O254" i="2" s="1"/>
  <c r="K264" i="2"/>
  <c r="J323" i="1"/>
  <c r="O352" i="2"/>
  <c r="K419" i="2"/>
  <c r="K431" i="2"/>
  <c r="O435" i="2"/>
  <c r="O459" i="2"/>
  <c r="O553" i="2"/>
  <c r="K573" i="2"/>
  <c r="I87" i="1"/>
  <c r="K149" i="3"/>
  <c r="N26" i="3"/>
  <c r="N16" i="3" s="1"/>
  <c r="K345" i="3"/>
  <c r="K381" i="3"/>
  <c r="K423" i="3"/>
  <c r="O435" i="3"/>
  <c r="O459" i="3"/>
  <c r="K465" i="3"/>
  <c r="K482" i="3"/>
  <c r="K133" i="4"/>
  <c r="K176" i="4"/>
  <c r="K186" i="4"/>
  <c r="K213" i="4"/>
  <c r="K219" i="4"/>
  <c r="L294" i="4"/>
  <c r="O294" i="4" s="1"/>
  <c r="K345" i="4"/>
  <c r="K401" i="4"/>
  <c r="K428" i="4"/>
  <c r="O533" i="4"/>
  <c r="O601" i="4"/>
  <c r="K635" i="4"/>
  <c r="P45" i="5"/>
  <c r="K112" i="5"/>
  <c r="K158" i="5"/>
  <c r="K189" i="5"/>
  <c r="N252" i="5"/>
  <c r="N250" i="5" s="1"/>
  <c r="K324" i="5"/>
  <c r="K423" i="5"/>
  <c r="K427" i="5"/>
  <c r="K164" i="6"/>
  <c r="K398" i="6"/>
  <c r="K402" i="6"/>
  <c r="K430" i="6"/>
  <c r="M312" i="7"/>
  <c r="P312" i="7" s="1"/>
  <c r="P314" i="7"/>
  <c r="K650" i="6"/>
  <c r="N68" i="7"/>
  <c r="N66" i="7" s="1"/>
  <c r="K186" i="7"/>
  <c r="N222" i="7"/>
  <c r="N220" i="7" s="1"/>
  <c r="L314" i="7"/>
  <c r="O314" i="7" s="1"/>
  <c r="O537" i="7"/>
  <c r="P337" i="8"/>
  <c r="K368" i="8"/>
  <c r="K450" i="8"/>
  <c r="K631" i="8"/>
  <c r="K216" i="9"/>
  <c r="K435" i="9"/>
  <c r="O437" i="9"/>
  <c r="L254" i="10"/>
  <c r="O254" i="10" s="1"/>
  <c r="N312" i="10"/>
  <c r="N310" i="10" s="1"/>
  <c r="K372" i="10"/>
  <c r="N32" i="10"/>
  <c r="N30" i="10" s="1"/>
  <c r="K424" i="10"/>
  <c r="K428" i="10"/>
  <c r="O566" i="10"/>
  <c r="K200" i="11"/>
  <c r="K345" i="11"/>
  <c r="N32" i="11"/>
  <c r="N30" i="11" s="1"/>
  <c r="N22" i="14"/>
  <c r="M68" i="14"/>
  <c r="P68" i="14" s="1"/>
  <c r="P70" i="14"/>
  <c r="K450" i="6"/>
  <c r="K612" i="6"/>
  <c r="K630" i="6"/>
  <c r="M68" i="7"/>
  <c r="M66" i="7" s="1"/>
  <c r="P66" i="7" s="1"/>
  <c r="L98" i="7"/>
  <c r="O98" i="7" s="1"/>
  <c r="L70" i="8"/>
  <c r="L68" i="8" s="1"/>
  <c r="O68" i="8" s="1"/>
  <c r="K270" i="8"/>
  <c r="K372" i="8"/>
  <c r="K398" i="8"/>
  <c r="N32" i="8"/>
  <c r="N30" i="8" s="1"/>
  <c r="K533" i="8"/>
  <c r="O650" i="8"/>
  <c r="K614" i="9"/>
  <c r="L70" i="10"/>
  <c r="O70" i="10" s="1"/>
  <c r="L294" i="10"/>
  <c r="O294" i="10" s="1"/>
  <c r="L333" i="10"/>
  <c r="L331" i="10" s="1"/>
  <c r="O401" i="10"/>
  <c r="K421" i="10"/>
  <c r="K425" i="10"/>
  <c r="O533" i="10"/>
  <c r="K564" i="10"/>
  <c r="K573" i="10"/>
  <c r="K626" i="10"/>
  <c r="L254" i="11"/>
  <c r="O254" i="11" s="1"/>
  <c r="K466" i="11"/>
  <c r="O535" i="11"/>
  <c r="K113" i="12"/>
  <c r="K474" i="13"/>
  <c r="P57" i="14"/>
  <c r="K618" i="6"/>
  <c r="K199" i="7"/>
  <c r="K380" i="7"/>
  <c r="O568" i="7"/>
  <c r="K614" i="7"/>
  <c r="J651" i="7"/>
  <c r="L275" i="8"/>
  <c r="O275" i="8" s="1"/>
  <c r="N34" i="9"/>
  <c r="N14" i="9" s="1"/>
  <c r="O435" i="9"/>
  <c r="K564" i="9"/>
  <c r="K611" i="9"/>
  <c r="K349" i="10"/>
  <c r="K381" i="10"/>
  <c r="M312" i="11"/>
  <c r="P312" i="11" s="1"/>
  <c r="K618" i="11"/>
  <c r="O352" i="14"/>
  <c r="L32" i="14"/>
  <c r="L30" i="14" s="1"/>
  <c r="O533" i="6"/>
  <c r="N120" i="7"/>
  <c r="N118" i="7" s="1"/>
  <c r="N142" i="7"/>
  <c r="N140" i="7" s="1"/>
  <c r="K173" i="7"/>
  <c r="K189" i="7"/>
  <c r="K200" i="7"/>
  <c r="O380" i="7"/>
  <c r="K417" i="7"/>
  <c r="O535" i="7"/>
  <c r="M43" i="8"/>
  <c r="M41" i="8" s="1"/>
  <c r="L224" i="8"/>
  <c r="O224" i="8" s="1"/>
  <c r="O347" i="8"/>
  <c r="O385" i="8"/>
  <c r="K419" i="8"/>
  <c r="K427" i="8"/>
  <c r="K649" i="8"/>
  <c r="K668" i="8"/>
  <c r="K213" i="9"/>
  <c r="N222" i="9"/>
  <c r="N220" i="9" s="1"/>
  <c r="K428" i="9"/>
  <c r="O439" i="9"/>
  <c r="K615" i="9"/>
  <c r="M94" i="10"/>
  <c r="P94" i="10" s="1"/>
  <c r="O352" i="10"/>
  <c r="O385" i="10"/>
  <c r="K402" i="10"/>
  <c r="K418" i="10"/>
  <c r="K422" i="10"/>
  <c r="K430" i="10"/>
  <c r="K435" i="10"/>
  <c r="K450" i="10"/>
  <c r="O564" i="10"/>
  <c r="O650" i="10"/>
  <c r="K663" i="10"/>
  <c r="K668" i="10"/>
  <c r="K149" i="11"/>
  <c r="K229" i="11"/>
  <c r="N252" i="11"/>
  <c r="N250" i="11" s="1"/>
  <c r="N273" i="11"/>
  <c r="N271" i="11" s="1"/>
  <c r="N331" i="11"/>
  <c r="N329" i="11" s="1"/>
  <c r="K343" i="11"/>
  <c r="N33" i="11"/>
  <c r="N13" i="11" s="1"/>
  <c r="K398" i="11"/>
  <c r="K432" i="11"/>
  <c r="K533" i="11"/>
  <c r="K611" i="11"/>
  <c r="O582" i="12"/>
  <c r="K381" i="15"/>
  <c r="N68" i="16"/>
  <c r="N66" i="16" s="1"/>
  <c r="L335" i="1"/>
  <c r="P122" i="15"/>
  <c r="M120" i="15"/>
  <c r="P120" i="15" s="1"/>
  <c r="M142" i="15"/>
  <c r="M140" i="15" s="1"/>
  <c r="P144" i="15"/>
  <c r="K465" i="6"/>
  <c r="K616" i="6"/>
  <c r="K229" i="7"/>
  <c r="K340" i="7"/>
  <c r="K381" i="7"/>
  <c r="K612" i="7"/>
  <c r="K189" i="8"/>
  <c r="L333" i="8"/>
  <c r="O333" i="8" s="1"/>
  <c r="K396" i="8"/>
  <c r="K420" i="8"/>
  <c r="O649" i="8"/>
  <c r="N68" i="9"/>
  <c r="N66" i="9" s="1"/>
  <c r="N252" i="9"/>
  <c r="N250" i="9" s="1"/>
  <c r="K616" i="9"/>
  <c r="K629" i="9"/>
  <c r="K597" i="10"/>
  <c r="L275" i="11"/>
  <c r="O275" i="11" s="1"/>
  <c r="O437" i="11"/>
  <c r="K612" i="11"/>
  <c r="K623" i="11"/>
  <c r="K620" i="11"/>
  <c r="M292" i="14"/>
  <c r="P292" i="14" s="1"/>
  <c r="P294" i="14"/>
  <c r="K547" i="6"/>
  <c r="O347" i="7"/>
  <c r="K402" i="7"/>
  <c r="O406" i="7"/>
  <c r="O457" i="7"/>
  <c r="K629" i="7"/>
  <c r="L98" i="8"/>
  <c r="O98" i="8" s="1"/>
  <c r="K375" i="8"/>
  <c r="O404" i="8"/>
  <c r="K417" i="8"/>
  <c r="K425" i="8"/>
  <c r="O597" i="8"/>
  <c r="O665" i="8"/>
  <c r="K173" i="9"/>
  <c r="K199" i="9"/>
  <c r="K204" i="9"/>
  <c r="O406" i="9"/>
  <c r="K425" i="9"/>
  <c r="K620" i="9"/>
  <c r="N142" i="10"/>
  <c r="N140" i="10" s="1"/>
  <c r="K200" i="10"/>
  <c r="N33" i="10"/>
  <c r="N13" i="10" s="1"/>
  <c r="K380" i="10"/>
  <c r="K533" i="10"/>
  <c r="O597" i="10"/>
  <c r="K621" i="10"/>
  <c r="K630" i="10"/>
  <c r="O668" i="10"/>
  <c r="N55" i="11"/>
  <c r="P55" i="11" s="1"/>
  <c r="L294" i="11"/>
  <c r="O294" i="11" s="1"/>
  <c r="N312" i="11"/>
  <c r="N310" i="11" s="1"/>
  <c r="P333" i="11"/>
  <c r="L32" i="11"/>
  <c r="K396" i="11"/>
  <c r="K423" i="11"/>
  <c r="K435" i="11"/>
  <c r="O455" i="11"/>
  <c r="K497" i="11"/>
  <c r="K189" i="12"/>
  <c r="K435" i="13"/>
  <c r="K629" i="13"/>
  <c r="K573" i="14"/>
  <c r="K629" i="14"/>
  <c r="K149" i="15"/>
  <c r="K345" i="15"/>
  <c r="K377" i="15"/>
  <c r="K402" i="15"/>
  <c r="K482" i="15"/>
  <c r="L98" i="16"/>
  <c r="O98" i="16" s="1"/>
  <c r="K396" i="16"/>
  <c r="K401" i="16"/>
  <c r="O404" i="16"/>
  <c r="K424" i="16"/>
  <c r="K428" i="16"/>
  <c r="K432" i="16"/>
  <c r="K449" i="16"/>
  <c r="O564" i="16"/>
  <c r="K369" i="19"/>
  <c r="I367" i="19"/>
  <c r="K367" i="19" s="1"/>
  <c r="N43" i="17"/>
  <c r="N41" i="17" s="1"/>
  <c r="O74" i="17"/>
  <c r="K85" i="17"/>
  <c r="M312" i="17"/>
  <c r="P312" i="17" s="1"/>
  <c r="M68" i="19"/>
  <c r="P68" i="19" s="1"/>
  <c r="P314" i="20"/>
  <c r="M312" i="20"/>
  <c r="P312" i="20" s="1"/>
  <c r="N31" i="20"/>
  <c r="N29" i="20" s="1"/>
  <c r="O404" i="20"/>
  <c r="L254" i="12"/>
  <c r="O254" i="12" s="1"/>
  <c r="P333" i="12"/>
  <c r="K340" i="12"/>
  <c r="K343" i="12"/>
  <c r="O347" i="12"/>
  <c r="K623" i="12"/>
  <c r="K668" i="12"/>
  <c r="K87" i="13"/>
  <c r="K213" i="13"/>
  <c r="K219" i="13"/>
  <c r="P333" i="13"/>
  <c r="O535" i="13"/>
  <c r="K564" i="13"/>
  <c r="K597" i="13"/>
  <c r="K149" i="14"/>
  <c r="L333" i="14"/>
  <c r="L331" i="14" s="1"/>
  <c r="L329" i="14" s="1"/>
  <c r="K341" i="14"/>
  <c r="K431" i="14"/>
  <c r="O537" i="14"/>
  <c r="O568" i="14"/>
  <c r="K630" i="14"/>
  <c r="K634" i="14"/>
  <c r="K665" i="14"/>
  <c r="K419" i="15"/>
  <c r="K423" i="15"/>
  <c r="K498" i="15"/>
  <c r="O584" i="15"/>
  <c r="K597" i="15"/>
  <c r="L144" i="16"/>
  <c r="O144" i="16" s="1"/>
  <c r="K200" i="16"/>
  <c r="K229" i="16"/>
  <c r="K343" i="16"/>
  <c r="O347" i="16"/>
  <c r="O401" i="16"/>
  <c r="K429" i="16"/>
  <c r="O437" i="16"/>
  <c r="K82" i="17"/>
  <c r="K341" i="17"/>
  <c r="K396" i="17"/>
  <c r="K401" i="17"/>
  <c r="O404" i="17"/>
  <c r="K417" i="17"/>
  <c r="K421" i="17"/>
  <c r="O533" i="17"/>
  <c r="K564" i="17"/>
  <c r="K622" i="21"/>
  <c r="K621" i="21"/>
  <c r="K624" i="21"/>
  <c r="K92" i="12"/>
  <c r="N312" i="12"/>
  <c r="N310" i="12" s="1"/>
  <c r="K429" i="12"/>
  <c r="K450" i="12"/>
  <c r="K474" i="12"/>
  <c r="K482" i="12"/>
  <c r="K633" i="12"/>
  <c r="O651" i="12"/>
  <c r="O668" i="12"/>
  <c r="L57" i="13"/>
  <c r="L55" i="13" s="1"/>
  <c r="N96" i="13"/>
  <c r="N94" i="13" s="1"/>
  <c r="N120" i="13"/>
  <c r="N118" i="13" s="1"/>
  <c r="N252" i="13"/>
  <c r="N250" i="13" s="1"/>
  <c r="K416" i="13"/>
  <c r="K428" i="13"/>
  <c r="K573" i="13"/>
  <c r="K630" i="13"/>
  <c r="K634" i="13"/>
  <c r="K648" i="13"/>
  <c r="K416" i="14"/>
  <c r="M292" i="15"/>
  <c r="P292" i="15" s="1"/>
  <c r="M96" i="17"/>
  <c r="P96" i="17" s="1"/>
  <c r="N32" i="19"/>
  <c r="N30" i="19" s="1"/>
  <c r="K149" i="12"/>
  <c r="P224" i="12"/>
  <c r="K264" i="12"/>
  <c r="K370" i="12"/>
  <c r="K593" i="12"/>
  <c r="K597" i="12"/>
  <c r="K80" i="13"/>
  <c r="L98" i="13"/>
  <c r="L96" i="13" s="1"/>
  <c r="O96" i="13" s="1"/>
  <c r="K199" i="13"/>
  <c r="K204" i="13"/>
  <c r="L254" i="13"/>
  <c r="O254" i="13" s="1"/>
  <c r="O564" i="13"/>
  <c r="O597" i="13"/>
  <c r="O601" i="13"/>
  <c r="L294" i="14"/>
  <c r="O294" i="14" s="1"/>
  <c r="K428" i="14"/>
  <c r="K432" i="14"/>
  <c r="K466" i="14"/>
  <c r="K473" i="14"/>
  <c r="K547" i="14"/>
  <c r="K631" i="14"/>
  <c r="O665" i="14"/>
  <c r="K173" i="15"/>
  <c r="K343" i="15"/>
  <c r="K350" i="15"/>
  <c r="K375" i="15"/>
  <c r="O459" i="15"/>
  <c r="O597" i="15"/>
  <c r="N26" i="16"/>
  <c r="N16" i="16" s="1"/>
  <c r="K92" i="16"/>
  <c r="K270" i="16"/>
  <c r="N292" i="16"/>
  <c r="N290" i="16" s="1"/>
  <c r="N331" i="16"/>
  <c r="N329" i="16" s="1"/>
  <c r="K398" i="16"/>
  <c r="K402" i="16"/>
  <c r="K422" i="16"/>
  <c r="K426" i="16"/>
  <c r="O535" i="16"/>
  <c r="K618" i="16"/>
  <c r="N644" i="16"/>
  <c r="N640" i="16" s="1"/>
  <c r="N638" i="16" s="1"/>
  <c r="N636" i="16" s="1"/>
  <c r="N142" i="17"/>
  <c r="N140" i="17" s="1"/>
  <c r="N222" i="17"/>
  <c r="N220" i="17" s="1"/>
  <c r="K267" i="17"/>
  <c r="N312" i="17"/>
  <c r="N310" i="17" s="1"/>
  <c r="N33" i="17"/>
  <c r="N13" i="17" s="1"/>
  <c r="K422" i="17"/>
  <c r="K625" i="17"/>
  <c r="N142" i="13"/>
  <c r="N140" i="13" s="1"/>
  <c r="N644" i="14"/>
  <c r="N640" i="14" s="1"/>
  <c r="N638" i="14" s="1"/>
  <c r="N636" i="14" s="1"/>
  <c r="N273" i="16"/>
  <c r="N271" i="16" s="1"/>
  <c r="J671" i="17"/>
  <c r="K671" i="17" s="1"/>
  <c r="L294" i="21"/>
  <c r="O294" i="21" s="1"/>
  <c r="J671" i="11"/>
  <c r="L45" i="12"/>
  <c r="L98" i="12"/>
  <c r="O98" i="12" s="1"/>
  <c r="L122" i="12"/>
  <c r="O122" i="12" s="1"/>
  <c r="L314" i="12"/>
  <c r="L312" i="12" s="1"/>
  <c r="K345" i="12"/>
  <c r="K422" i="12"/>
  <c r="O597" i="12"/>
  <c r="K650" i="12"/>
  <c r="N26" i="13"/>
  <c r="N16" i="13" s="1"/>
  <c r="K81" i="13"/>
  <c r="L122" i="13"/>
  <c r="O122" i="13" s="1"/>
  <c r="K138" i="13"/>
  <c r="L144" i="13"/>
  <c r="O144" i="13" s="1"/>
  <c r="K189" i="13"/>
  <c r="K200" i="13"/>
  <c r="K216" i="13"/>
  <c r="P294" i="13"/>
  <c r="K466" i="13"/>
  <c r="K613" i="13"/>
  <c r="K628" i="13"/>
  <c r="J671" i="13"/>
  <c r="K671" i="13" s="1"/>
  <c r="L144" i="14"/>
  <c r="O144" i="14" s="1"/>
  <c r="L224" i="14"/>
  <c r="O224" i="14" s="1"/>
  <c r="K343" i="14"/>
  <c r="K417" i="14"/>
  <c r="K429" i="14"/>
  <c r="O457" i="14"/>
  <c r="K628" i="14"/>
  <c r="N68" i="15"/>
  <c r="N66" i="15" s="1"/>
  <c r="K158" i="15"/>
  <c r="K372" i="15"/>
  <c r="K376" i="15"/>
  <c r="O401" i="15"/>
  <c r="K466" i="15"/>
  <c r="O582" i="15"/>
  <c r="O601" i="15"/>
  <c r="L33" i="16"/>
  <c r="O33" i="16" s="1"/>
  <c r="K93" i="16"/>
  <c r="K149" i="16"/>
  <c r="K219" i="16"/>
  <c r="K341" i="16"/>
  <c r="K345" i="16"/>
  <c r="K427" i="16"/>
  <c r="O435" i="16"/>
  <c r="K564" i="16"/>
  <c r="K649" i="16"/>
  <c r="L57" i="17"/>
  <c r="K80" i="17"/>
  <c r="K88" i="17"/>
  <c r="L122" i="17"/>
  <c r="L120" i="17" s="1"/>
  <c r="L118" i="17" s="1"/>
  <c r="K132" i="17"/>
  <c r="K164" i="17"/>
  <c r="L254" i="17"/>
  <c r="O254" i="17" s="1"/>
  <c r="O354" i="17"/>
  <c r="O406" i="17"/>
  <c r="K455" i="17"/>
  <c r="K498" i="17"/>
  <c r="O597" i="17"/>
  <c r="K624" i="17"/>
  <c r="O665" i="17"/>
  <c r="K422" i="19"/>
  <c r="K398" i="12"/>
  <c r="K402" i="12"/>
  <c r="K423" i="12"/>
  <c r="O435" i="12"/>
  <c r="K499" i="12"/>
  <c r="K631" i="12"/>
  <c r="O648" i="12"/>
  <c r="M45" i="1"/>
  <c r="K229" i="13"/>
  <c r="L294" i="13"/>
  <c r="O294" i="13" s="1"/>
  <c r="O401" i="13"/>
  <c r="J412" i="1"/>
  <c r="K422" i="13"/>
  <c r="K426" i="13"/>
  <c r="K430" i="13"/>
  <c r="K450" i="13"/>
  <c r="K632" i="13"/>
  <c r="K668" i="13"/>
  <c r="O401" i="14"/>
  <c r="K418" i="14"/>
  <c r="K422" i="14"/>
  <c r="O437" i="14"/>
  <c r="K450" i="14"/>
  <c r="K455" i="14"/>
  <c r="K564" i="14"/>
  <c r="O671" i="14"/>
  <c r="N43" i="15"/>
  <c r="P43" i="15" s="1"/>
  <c r="P275" i="15"/>
  <c r="K418" i="15"/>
  <c r="K429" i="15"/>
  <c r="O437" i="15"/>
  <c r="O457" i="15"/>
  <c r="K497" i="15"/>
  <c r="K631" i="15"/>
  <c r="K634" i="15"/>
  <c r="K285" i="16"/>
  <c r="N312" i="16"/>
  <c r="N310" i="16" s="1"/>
  <c r="O337" i="16"/>
  <c r="K416" i="16"/>
  <c r="K420" i="16"/>
  <c r="K499" i="16"/>
  <c r="O533" i="16"/>
  <c r="K633" i="16"/>
  <c r="O649" i="16"/>
  <c r="L98" i="17"/>
  <c r="O98" i="17" s="1"/>
  <c r="K158" i="17"/>
  <c r="K235" i="17"/>
  <c r="P333" i="17"/>
  <c r="K343" i="17"/>
  <c r="O455" i="17"/>
  <c r="K481" i="17"/>
  <c r="K648" i="17"/>
  <c r="O661" i="17"/>
  <c r="O351" i="18"/>
  <c r="L31" i="18"/>
  <c r="L11" i="18" s="1"/>
  <c r="K629" i="18"/>
  <c r="O535" i="20"/>
  <c r="K82" i="18"/>
  <c r="K138" i="18"/>
  <c r="L144" i="18"/>
  <c r="O144" i="18" s="1"/>
  <c r="K173" i="18"/>
  <c r="K189" i="18"/>
  <c r="K216" i="18"/>
  <c r="K343" i="18"/>
  <c r="O383" i="18"/>
  <c r="K397" i="18"/>
  <c r="K428" i="18"/>
  <c r="K580" i="18"/>
  <c r="O599" i="18"/>
  <c r="O102" i="19"/>
  <c r="K229" i="19"/>
  <c r="K265" i="19"/>
  <c r="K270" i="19"/>
  <c r="K349" i="19"/>
  <c r="K564" i="19"/>
  <c r="K593" i="19"/>
  <c r="P70" i="20"/>
  <c r="K401" i="20"/>
  <c r="K427" i="20"/>
  <c r="O439" i="20"/>
  <c r="K564" i="20"/>
  <c r="N55" i="21"/>
  <c r="N53" i="21" s="1"/>
  <c r="K86" i="21"/>
  <c r="K133" i="21"/>
  <c r="P337" i="21"/>
  <c r="K426" i="21"/>
  <c r="K430" i="21"/>
  <c r="K450" i="21"/>
  <c r="O665" i="21"/>
  <c r="K149" i="22"/>
  <c r="L254" i="22"/>
  <c r="O254" i="22" s="1"/>
  <c r="O537" i="22"/>
  <c r="N644" i="17"/>
  <c r="N640" i="17" s="1"/>
  <c r="N638" i="17" s="1"/>
  <c r="N636" i="17" s="1"/>
  <c r="O650" i="17"/>
  <c r="O671" i="17"/>
  <c r="N43" i="18"/>
  <c r="P43" i="18" s="1"/>
  <c r="K64" i="18"/>
  <c r="P70" i="18"/>
  <c r="K270" i="18"/>
  <c r="P275" i="18"/>
  <c r="K306" i="18"/>
  <c r="P333" i="18"/>
  <c r="O380" i="18"/>
  <c r="K398" i="18"/>
  <c r="K402" i="18"/>
  <c r="K418" i="18"/>
  <c r="K429" i="18"/>
  <c r="K449" i="18"/>
  <c r="K482" i="18"/>
  <c r="O537" i="18"/>
  <c r="O580" i="18"/>
  <c r="K597" i="18"/>
  <c r="J651" i="18"/>
  <c r="N55" i="19"/>
  <c r="N53" i="19" s="1"/>
  <c r="K199" i="19"/>
  <c r="K266" i="19"/>
  <c r="K285" i="19"/>
  <c r="K341" i="19"/>
  <c r="K345" i="19"/>
  <c r="K430" i="19"/>
  <c r="K450" i="19"/>
  <c r="O601" i="19"/>
  <c r="K665" i="19"/>
  <c r="O401" i="20"/>
  <c r="K449" i="20"/>
  <c r="P70" i="21"/>
  <c r="K199" i="21"/>
  <c r="P224" i="21"/>
  <c r="P254" i="21"/>
  <c r="K267" i="21"/>
  <c r="K343" i="21"/>
  <c r="O347" i="21"/>
  <c r="K350" i="21"/>
  <c r="N33" i="21"/>
  <c r="N13" i="21" s="1"/>
  <c r="K580" i="21"/>
  <c r="K589" i="21"/>
  <c r="O599" i="21"/>
  <c r="K628" i="21"/>
  <c r="K632" i="21"/>
  <c r="L98" i="22"/>
  <c r="L96" i="22" s="1"/>
  <c r="O406" i="22"/>
  <c r="O535" i="22"/>
  <c r="K621" i="22"/>
  <c r="N68" i="18"/>
  <c r="N66" i="18" s="1"/>
  <c r="N331" i="18"/>
  <c r="N329" i="18" s="1"/>
  <c r="K422" i="18"/>
  <c r="O564" i="18"/>
  <c r="O584" i="18"/>
  <c r="K630" i="18"/>
  <c r="L57" i="19"/>
  <c r="L55" i="19" s="1"/>
  <c r="L53" i="19" s="1"/>
  <c r="O53" i="19" s="1"/>
  <c r="K92" i="19"/>
  <c r="P122" i="19"/>
  <c r="K138" i="19"/>
  <c r="O568" i="19"/>
  <c r="K591" i="19"/>
  <c r="K219" i="20"/>
  <c r="N43" i="21"/>
  <c r="N41" i="21" s="1"/>
  <c r="M120" i="18"/>
  <c r="P120" i="18" s="1"/>
  <c r="L24" i="19"/>
  <c r="O24" i="19" s="1"/>
  <c r="O459" i="19"/>
  <c r="J671" i="19"/>
  <c r="I367" i="21"/>
  <c r="K367" i="21" s="1"/>
  <c r="K499" i="21"/>
  <c r="K533" i="21"/>
  <c r="N222" i="22"/>
  <c r="N220" i="22" s="1"/>
  <c r="O354" i="22"/>
  <c r="K427" i="22"/>
  <c r="K633" i="17"/>
  <c r="O651" i="17"/>
  <c r="K80" i="18"/>
  <c r="K149" i="18"/>
  <c r="N252" i="18"/>
  <c r="N250" i="18" s="1"/>
  <c r="K423" i="18"/>
  <c r="K497" i="18"/>
  <c r="L640" i="18"/>
  <c r="O640" i="18" s="1"/>
  <c r="K93" i="19"/>
  <c r="N96" i="19"/>
  <c r="N94" i="19" s="1"/>
  <c r="K117" i="19"/>
  <c r="L122" i="19"/>
  <c r="L120" i="19" s="1"/>
  <c r="K200" i="19"/>
  <c r="L254" i="19"/>
  <c r="L252" i="19" s="1"/>
  <c r="L250" i="19" s="1"/>
  <c r="L314" i="19"/>
  <c r="O314" i="19" s="1"/>
  <c r="K343" i="19"/>
  <c r="K372" i="19"/>
  <c r="K396" i="19"/>
  <c r="O439" i="19"/>
  <c r="K466" i="19"/>
  <c r="K473" i="19"/>
  <c r="K498" i="19"/>
  <c r="O535" i="19"/>
  <c r="O650" i="19"/>
  <c r="L254" i="20"/>
  <c r="O254" i="20" s="1"/>
  <c r="N292" i="20"/>
  <c r="N290" i="20" s="1"/>
  <c r="P333" i="20"/>
  <c r="K547" i="20"/>
  <c r="L57" i="21"/>
  <c r="O57" i="21" s="1"/>
  <c r="K117" i="21"/>
  <c r="N120" i="21"/>
  <c r="N118" i="21" s="1"/>
  <c r="L24" i="21"/>
  <c r="O24" i="21" s="1"/>
  <c r="K164" i="21"/>
  <c r="N32" i="21"/>
  <c r="N30" i="21" s="1"/>
  <c r="K189" i="22"/>
  <c r="K200" i="22"/>
  <c r="L224" i="22"/>
  <c r="O224" i="22" s="1"/>
  <c r="O435" i="22"/>
  <c r="K564" i="22"/>
  <c r="P144" i="18"/>
  <c r="K199" i="18"/>
  <c r="K204" i="18"/>
  <c r="K215" i="18"/>
  <c r="L254" i="18"/>
  <c r="O254" i="18" s="1"/>
  <c r="P314" i="18"/>
  <c r="P337" i="18"/>
  <c r="K401" i="18"/>
  <c r="K416" i="18"/>
  <c r="K431" i="18"/>
  <c r="O435" i="18"/>
  <c r="O455" i="18"/>
  <c r="O535" i="18"/>
  <c r="O582" i="18"/>
  <c r="K615" i="18"/>
  <c r="N644" i="18"/>
  <c r="N640" i="18" s="1"/>
  <c r="N638" i="18" s="1"/>
  <c r="N636" i="18" s="1"/>
  <c r="L98" i="19"/>
  <c r="O98" i="19" s="1"/>
  <c r="K108" i="19"/>
  <c r="K264" i="19"/>
  <c r="L294" i="19"/>
  <c r="L292" i="19" s="1"/>
  <c r="O292" i="19" s="1"/>
  <c r="O347" i="19"/>
  <c r="K432" i="19"/>
  <c r="O566" i="19"/>
  <c r="O599" i="19"/>
  <c r="K422" i="20"/>
  <c r="N33" i="20"/>
  <c r="N13" i="20" s="1"/>
  <c r="K81" i="21"/>
  <c r="L23" i="21"/>
  <c r="O23" i="21" s="1"/>
  <c r="K270" i="21"/>
  <c r="L333" i="21"/>
  <c r="L331" i="21" s="1"/>
  <c r="L329" i="21" s="1"/>
  <c r="O352" i="21"/>
  <c r="K425" i="21"/>
  <c r="K429" i="21"/>
  <c r="K449" i="21"/>
  <c r="O564" i="21"/>
  <c r="K591" i="21"/>
  <c r="K665" i="21"/>
  <c r="K372" i="22"/>
  <c r="K376" i="22"/>
  <c r="K428" i="22"/>
  <c r="O533" i="22"/>
  <c r="K573" i="22"/>
  <c r="K632" i="22"/>
  <c r="J176" i="1"/>
  <c r="I270" i="1"/>
  <c r="N279" i="1"/>
  <c r="N333" i="1"/>
  <c r="L384" i="1"/>
  <c r="O384" i="1" s="1"/>
  <c r="L405" i="1"/>
  <c r="O405" i="1" s="1"/>
  <c r="I422" i="1"/>
  <c r="I450" i="1"/>
  <c r="I455" i="1"/>
  <c r="L600" i="1"/>
  <c r="O600" i="1" s="1"/>
  <c r="M22" i="2"/>
  <c r="M12" i="2" s="1"/>
  <c r="P98" i="2"/>
  <c r="K132" i="2"/>
  <c r="K164" i="2"/>
  <c r="K199" i="2"/>
  <c r="K267" i="2"/>
  <c r="L314" i="2"/>
  <c r="L312" i="2" s="1"/>
  <c r="K324" i="2"/>
  <c r="P333" i="2"/>
  <c r="O354" i="2"/>
  <c r="K381" i="2"/>
  <c r="K417" i="2"/>
  <c r="K466" i="2"/>
  <c r="K482" i="2"/>
  <c r="K498" i="2"/>
  <c r="L34" i="3"/>
  <c r="K64" i="3"/>
  <c r="K80" i="3"/>
  <c r="K186" i="3"/>
  <c r="K249" i="3"/>
  <c r="L26" i="4"/>
  <c r="L16" i="4" s="1"/>
  <c r="M49" i="4"/>
  <c r="M26" i="4" s="1"/>
  <c r="M16" i="4" s="1"/>
  <c r="O354" i="4"/>
  <c r="N34" i="4"/>
  <c r="N14" i="4" s="1"/>
  <c r="O70" i="5"/>
  <c r="L68" i="5"/>
  <c r="O68" i="5" s="1"/>
  <c r="I219" i="1"/>
  <c r="I249" i="1"/>
  <c r="M254" i="1"/>
  <c r="I304" i="1"/>
  <c r="I341" i="1"/>
  <c r="I398" i="1"/>
  <c r="I505" i="1"/>
  <c r="K505" i="1" s="1"/>
  <c r="L554" i="1"/>
  <c r="O554" i="1" s="1"/>
  <c r="L564" i="1"/>
  <c r="I573" i="1"/>
  <c r="L597" i="1"/>
  <c r="N26" i="2"/>
  <c r="N16" i="2" s="1"/>
  <c r="O49" i="2"/>
  <c r="K64" i="2"/>
  <c r="K80" i="2"/>
  <c r="K215" i="2"/>
  <c r="P254" i="2"/>
  <c r="O583" i="2"/>
  <c r="O649" i="2"/>
  <c r="K651" i="2"/>
  <c r="K84" i="3"/>
  <c r="K87" i="3"/>
  <c r="J302" i="1"/>
  <c r="O438" i="4"/>
  <c r="L33" i="4"/>
  <c r="O33" i="4" s="1"/>
  <c r="N68" i="6"/>
  <c r="P68" i="6" s="1"/>
  <c r="P70" i="6"/>
  <c r="M252" i="4"/>
  <c r="P254" i="4"/>
  <c r="P333" i="5"/>
  <c r="M331" i="5"/>
  <c r="I92" i="1"/>
  <c r="L123" i="1"/>
  <c r="I133" i="1"/>
  <c r="L295" i="1"/>
  <c r="N554" i="1"/>
  <c r="I560" i="1"/>
  <c r="L568" i="1"/>
  <c r="I575" i="1"/>
  <c r="K575" i="1" s="1"/>
  <c r="P57" i="2"/>
  <c r="N120" i="2"/>
  <c r="P120" i="2" s="1"/>
  <c r="N273" i="2"/>
  <c r="P273" i="2" s="1"/>
  <c r="N292" i="2"/>
  <c r="L333" i="2"/>
  <c r="O333" i="2" s="1"/>
  <c r="K421" i="2"/>
  <c r="K425" i="2"/>
  <c r="N460" i="1"/>
  <c r="L640" i="3"/>
  <c r="L638" i="3" s="1"/>
  <c r="O651" i="3"/>
  <c r="J308" i="1"/>
  <c r="I108" i="1"/>
  <c r="I149" i="1"/>
  <c r="J199" i="1"/>
  <c r="I204" i="1"/>
  <c r="J435" i="1"/>
  <c r="L438" i="1"/>
  <c r="O438" i="1" s="1"/>
  <c r="J677" i="1"/>
  <c r="L70" i="2"/>
  <c r="L68" i="2" s="1"/>
  <c r="O406" i="2"/>
  <c r="K422" i="2"/>
  <c r="K628" i="2"/>
  <c r="K632" i="2"/>
  <c r="K213" i="3"/>
  <c r="K229" i="3"/>
  <c r="N331" i="3"/>
  <c r="N329" i="3" s="1"/>
  <c r="P333" i="3"/>
  <c r="N142" i="6"/>
  <c r="N140" i="6" s="1"/>
  <c r="P144" i="6"/>
  <c r="I264" i="1"/>
  <c r="I285" i="1"/>
  <c r="I350" i="1"/>
  <c r="K350" i="1" s="1"/>
  <c r="L435" i="1"/>
  <c r="L555" i="1"/>
  <c r="I671" i="1"/>
  <c r="N22" i="2"/>
  <c r="O102" i="2"/>
  <c r="K109" i="2"/>
  <c r="K349" i="2"/>
  <c r="K376" i="2"/>
  <c r="K629" i="2"/>
  <c r="K164" i="3"/>
  <c r="J231" i="1"/>
  <c r="J237" i="1"/>
  <c r="J244" i="1"/>
  <c r="K267" i="3"/>
  <c r="J573" i="1"/>
  <c r="N96" i="4"/>
  <c r="N94" i="4" s="1"/>
  <c r="P98" i="4"/>
  <c r="I424" i="1"/>
  <c r="I431" i="1"/>
  <c r="J482" i="1"/>
  <c r="I533" i="1"/>
  <c r="L535" i="1"/>
  <c r="I634" i="1"/>
  <c r="P144" i="2"/>
  <c r="K213" i="2"/>
  <c r="P294" i="2"/>
  <c r="K328" i="2"/>
  <c r="O349" i="2"/>
  <c r="K416" i="2"/>
  <c r="K423" i="2"/>
  <c r="K430" i="2"/>
  <c r="K435" i="2"/>
  <c r="K597" i="2"/>
  <c r="N68" i="3"/>
  <c r="N66" i="3" s="1"/>
  <c r="J215" i="1"/>
  <c r="M55" i="4"/>
  <c r="P57" i="4"/>
  <c r="J284" i="1"/>
  <c r="M331" i="4"/>
  <c r="M329" i="4" s="1"/>
  <c r="P337" i="4"/>
  <c r="N551" i="1"/>
  <c r="I138" i="1"/>
  <c r="O347" i="1"/>
  <c r="I368" i="1"/>
  <c r="J615" i="1"/>
  <c r="I668" i="1"/>
  <c r="N55" i="2"/>
  <c r="P55" i="2" s="1"/>
  <c r="K113" i="2"/>
  <c r="K266" i="2"/>
  <c r="K309" i="2"/>
  <c r="K370" i="2"/>
  <c r="K427" i="2"/>
  <c r="N442" i="1"/>
  <c r="N32" i="2"/>
  <c r="N30" i="2" s="1"/>
  <c r="K630" i="2"/>
  <c r="L70" i="3"/>
  <c r="K265" i="3"/>
  <c r="J341" i="1"/>
  <c r="L34" i="5"/>
  <c r="J548" i="1"/>
  <c r="J262" i="1"/>
  <c r="O385" i="4"/>
  <c r="K431" i="4"/>
  <c r="N33" i="4"/>
  <c r="N13" i="4" s="1"/>
  <c r="K455" i="4"/>
  <c r="K466" i="4"/>
  <c r="K573" i="4"/>
  <c r="K117" i="5"/>
  <c r="K416" i="5"/>
  <c r="K499" i="5"/>
  <c r="O533" i="5"/>
  <c r="O601" i="5"/>
  <c r="K623" i="5"/>
  <c r="K626" i="5"/>
  <c r="K65" i="6"/>
  <c r="P294" i="6"/>
  <c r="M292" i="6"/>
  <c r="P292" i="6" s="1"/>
  <c r="N34" i="7"/>
  <c r="N14" i="7" s="1"/>
  <c r="O600" i="11"/>
  <c r="L33" i="11"/>
  <c r="O33" i="11" s="1"/>
  <c r="K285" i="3"/>
  <c r="K397" i="3"/>
  <c r="K417" i="3"/>
  <c r="J431" i="1"/>
  <c r="N32" i="3"/>
  <c r="N30" i="3" s="1"/>
  <c r="N31" i="3"/>
  <c r="N11" i="3" s="1"/>
  <c r="N9" i="3" s="1"/>
  <c r="K621" i="3"/>
  <c r="K624" i="3"/>
  <c r="K632" i="3"/>
  <c r="M142" i="4"/>
  <c r="P142" i="4" s="1"/>
  <c r="K328" i="4"/>
  <c r="K425" i="4"/>
  <c r="K432" i="4"/>
  <c r="K616" i="4"/>
  <c r="K108" i="5"/>
  <c r="L224" i="5"/>
  <c r="O224" i="5" s="1"/>
  <c r="K306" i="5"/>
  <c r="O349" i="5"/>
  <c r="N33" i="5"/>
  <c r="N13" i="5" s="1"/>
  <c r="K398" i="5"/>
  <c r="K430" i="5"/>
  <c r="K435" i="5"/>
  <c r="K481" i="5"/>
  <c r="O537" i="5"/>
  <c r="K613" i="5"/>
  <c r="K614" i="5"/>
  <c r="K631" i="5"/>
  <c r="L57" i="6"/>
  <c r="O57" i="6" s="1"/>
  <c r="L70" i="6"/>
  <c r="O70" i="6" s="1"/>
  <c r="K80" i="6"/>
  <c r="L254" i="6"/>
  <c r="L252" i="6" s="1"/>
  <c r="L250" i="6" s="1"/>
  <c r="K264" i="6"/>
  <c r="O337" i="6"/>
  <c r="M337" i="6"/>
  <c r="M331" i="6" s="1"/>
  <c r="O564" i="7"/>
  <c r="J286" i="1"/>
  <c r="K455" i="3"/>
  <c r="O599" i="3"/>
  <c r="N644" i="3"/>
  <c r="N640" i="3" s="1"/>
  <c r="N638" i="3" s="1"/>
  <c r="N636" i="3" s="1"/>
  <c r="J665" i="1"/>
  <c r="J82" i="1"/>
  <c r="K111" i="4"/>
  <c r="K376" i="4"/>
  <c r="K624" i="4"/>
  <c r="L24" i="5"/>
  <c r="O24" i="5" s="1"/>
  <c r="N310" i="5"/>
  <c r="L640" i="5"/>
  <c r="O640" i="5" s="1"/>
  <c r="K619" i="8"/>
  <c r="K618" i="8"/>
  <c r="K614" i="8"/>
  <c r="J398" i="1"/>
  <c r="O455" i="3"/>
  <c r="O537" i="3"/>
  <c r="K564" i="3"/>
  <c r="O566" i="3"/>
  <c r="J633" i="1"/>
  <c r="L24" i="4"/>
  <c r="P70" i="4"/>
  <c r="K158" i="4"/>
  <c r="K617" i="4"/>
  <c r="L144" i="5"/>
  <c r="O144" i="5" s="1"/>
  <c r="K343" i="5"/>
  <c r="K380" i="5"/>
  <c r="N31" i="5"/>
  <c r="N29" i="5" s="1"/>
  <c r="K424" i="5"/>
  <c r="K455" i="5"/>
  <c r="O566" i="5"/>
  <c r="K597" i="5"/>
  <c r="K611" i="5"/>
  <c r="K635" i="5"/>
  <c r="N644" i="5"/>
  <c r="N640" i="5" s="1"/>
  <c r="N638" i="5" s="1"/>
  <c r="N636" i="5" s="1"/>
  <c r="N33" i="8"/>
  <c r="N13" i="8" s="1"/>
  <c r="M43" i="9"/>
  <c r="M41" i="9" s="1"/>
  <c r="P45" i="9"/>
  <c r="J371" i="1"/>
  <c r="J374" i="1"/>
  <c r="J616" i="1"/>
  <c r="J159" i="1"/>
  <c r="J170" i="1"/>
  <c r="J212" i="1"/>
  <c r="K419" i="4"/>
  <c r="K474" i="4"/>
  <c r="N31" i="4"/>
  <c r="N29" i="4" s="1"/>
  <c r="K614" i="4"/>
  <c r="N644" i="4"/>
  <c r="N640" i="4" s="1"/>
  <c r="N638" i="4" s="1"/>
  <c r="N636" i="4" s="1"/>
  <c r="K204" i="5"/>
  <c r="K289" i="5"/>
  <c r="N292" i="5"/>
  <c r="N290" i="5" s="1"/>
  <c r="K473" i="5"/>
  <c r="K615" i="5"/>
  <c r="K618" i="5"/>
  <c r="K629" i="5"/>
  <c r="O648" i="5"/>
  <c r="J671" i="5"/>
  <c r="O564" i="6"/>
  <c r="K418" i="7"/>
  <c r="N34" i="3"/>
  <c r="N14" i="3" s="1"/>
  <c r="O406" i="3"/>
  <c r="K497" i="3"/>
  <c r="K630" i="3"/>
  <c r="K113" i="4"/>
  <c r="K265" i="4"/>
  <c r="N312" i="4"/>
  <c r="N310" i="4" s="1"/>
  <c r="K430" i="4"/>
  <c r="K564" i="4"/>
  <c r="K597" i="4"/>
  <c r="K649" i="4"/>
  <c r="J651" i="4"/>
  <c r="K651" i="4" s="1"/>
  <c r="M68" i="5"/>
  <c r="P68" i="5" s="1"/>
  <c r="M120" i="5"/>
  <c r="M118" i="5" s="1"/>
  <c r="N32" i="5"/>
  <c r="N30" i="5" s="1"/>
  <c r="K625" i="5"/>
  <c r="P333" i="6"/>
  <c r="L34" i="6"/>
  <c r="O459" i="6"/>
  <c r="J321" i="1"/>
  <c r="K328" i="3"/>
  <c r="K396" i="3"/>
  <c r="K416" i="3"/>
  <c r="K427" i="3"/>
  <c r="O437" i="3"/>
  <c r="K533" i="3"/>
  <c r="J577" i="1"/>
  <c r="K613" i="3"/>
  <c r="K620" i="3"/>
  <c r="K623" i="3"/>
  <c r="K626" i="3"/>
  <c r="K631" i="3"/>
  <c r="L124" i="1"/>
  <c r="K266" i="4"/>
  <c r="O404" i="4"/>
  <c r="K417" i="4"/>
  <c r="K591" i="4"/>
  <c r="O49" i="5"/>
  <c r="K200" i="5"/>
  <c r="K215" i="5"/>
  <c r="L254" i="5"/>
  <c r="K341" i="5"/>
  <c r="J363" i="1"/>
  <c r="K372" i="5"/>
  <c r="K422" i="5"/>
  <c r="K432" i="5"/>
  <c r="O439" i="5"/>
  <c r="O455" i="5"/>
  <c r="I518" i="1"/>
  <c r="I522" i="1"/>
  <c r="I526" i="1"/>
  <c r="I530" i="1"/>
  <c r="O564" i="5"/>
  <c r="O597" i="5"/>
  <c r="K630" i="5"/>
  <c r="M96" i="6"/>
  <c r="P96" i="6" s="1"/>
  <c r="K219" i="6"/>
  <c r="N31" i="8"/>
  <c r="N29" i="8" s="1"/>
  <c r="P57" i="9"/>
  <c r="L333" i="9"/>
  <c r="O333" i="9" s="1"/>
  <c r="N96" i="6"/>
  <c r="N94" i="6" s="1"/>
  <c r="K138" i="6"/>
  <c r="K158" i="6"/>
  <c r="L224" i="6"/>
  <c r="O224" i="6" s="1"/>
  <c r="N292" i="6"/>
  <c r="N290" i="6" s="1"/>
  <c r="K634" i="6"/>
  <c r="M273" i="7"/>
  <c r="M271" i="7" s="1"/>
  <c r="P271" i="7" s="1"/>
  <c r="K328" i="7"/>
  <c r="K138" i="8"/>
  <c r="N142" i="8"/>
  <c r="N140" i="8" s="1"/>
  <c r="K381" i="8"/>
  <c r="K402" i="8"/>
  <c r="K625" i="8"/>
  <c r="K630" i="8"/>
  <c r="N120" i="9"/>
  <c r="N118" i="9" s="1"/>
  <c r="N273" i="9"/>
  <c r="N271" i="9" s="1"/>
  <c r="L314" i="9"/>
  <c r="O314" i="9" s="1"/>
  <c r="N31" i="9"/>
  <c r="N29" i="9" s="1"/>
  <c r="M120" i="10"/>
  <c r="P120" i="10" s="1"/>
  <c r="P122" i="10"/>
  <c r="N55" i="6"/>
  <c r="N53" i="6" s="1"/>
  <c r="K149" i="6"/>
  <c r="K270" i="6"/>
  <c r="P275" i="6"/>
  <c r="K419" i="6"/>
  <c r="K533" i="6"/>
  <c r="K597" i="6"/>
  <c r="N43" i="7"/>
  <c r="N41" i="7" s="1"/>
  <c r="K158" i="7"/>
  <c r="K185" i="7"/>
  <c r="N32" i="7"/>
  <c r="N30" i="7" s="1"/>
  <c r="O383" i="7"/>
  <c r="K423" i="7"/>
  <c r="K615" i="7"/>
  <c r="K618" i="7"/>
  <c r="N26" i="8"/>
  <c r="N312" i="8"/>
  <c r="N310" i="8" s="1"/>
  <c r="K350" i="8"/>
  <c r="K426" i="8"/>
  <c r="K429" i="8"/>
  <c r="K564" i="8"/>
  <c r="K597" i="8"/>
  <c r="L98" i="9"/>
  <c r="L275" i="9"/>
  <c r="O275" i="9" s="1"/>
  <c r="P224" i="10"/>
  <c r="K465" i="11"/>
  <c r="O566" i="13"/>
  <c r="L32" i="13"/>
  <c r="L30" i="13" s="1"/>
  <c r="K626" i="6"/>
  <c r="N22" i="10"/>
  <c r="O599" i="12"/>
  <c r="N32" i="12"/>
  <c r="N30" i="12" s="1"/>
  <c r="O347" i="13"/>
  <c r="K85" i="6"/>
  <c r="K266" i="6"/>
  <c r="L275" i="6"/>
  <c r="L273" i="6" s="1"/>
  <c r="K328" i="6"/>
  <c r="O354" i="6"/>
  <c r="K368" i="6"/>
  <c r="K375" i="6"/>
  <c r="K380" i="6"/>
  <c r="K396" i="6"/>
  <c r="K401" i="6"/>
  <c r="K416" i="6"/>
  <c r="K420" i="6"/>
  <c r="K423" i="6"/>
  <c r="K435" i="6"/>
  <c r="O457" i="6"/>
  <c r="K473" i="6"/>
  <c r="K497" i="6"/>
  <c r="K628" i="6"/>
  <c r="O649" i="6"/>
  <c r="O671" i="6"/>
  <c r="L70" i="7"/>
  <c r="L122" i="7"/>
  <c r="O122" i="7" s="1"/>
  <c r="N273" i="7"/>
  <c r="N271" i="7" s="1"/>
  <c r="L294" i="7"/>
  <c r="O294" i="7" s="1"/>
  <c r="K401" i="7"/>
  <c r="O404" i="7"/>
  <c r="K420" i="7"/>
  <c r="K427" i="7"/>
  <c r="K435" i="7"/>
  <c r="N33" i="7"/>
  <c r="N13" i="7" s="1"/>
  <c r="K635" i="7"/>
  <c r="P57" i="8"/>
  <c r="M120" i="8"/>
  <c r="M118" i="8" s="1"/>
  <c r="P118" i="8" s="1"/>
  <c r="K158" i="8"/>
  <c r="K204" i="8"/>
  <c r="N292" i="8"/>
  <c r="N290" i="8" s="1"/>
  <c r="O337" i="8"/>
  <c r="K380" i="8"/>
  <c r="K401" i="8"/>
  <c r="K430" i="8"/>
  <c r="O437" i="8"/>
  <c r="K449" i="8"/>
  <c r="K547" i="8"/>
  <c r="O564" i="8"/>
  <c r="K628" i="8"/>
  <c r="L144" i="9"/>
  <c r="L142" i="9" s="1"/>
  <c r="L224" i="9"/>
  <c r="L222" i="9" s="1"/>
  <c r="M252" i="9"/>
  <c r="P252" i="9" s="1"/>
  <c r="P254" i="9"/>
  <c r="M96" i="14"/>
  <c r="P96" i="14" s="1"/>
  <c r="P98" i="14"/>
  <c r="K620" i="6"/>
  <c r="P144" i="7"/>
  <c r="J242" i="1"/>
  <c r="J249" i="1"/>
  <c r="L275" i="7"/>
  <c r="L273" i="7" s="1"/>
  <c r="O273" i="7" s="1"/>
  <c r="K431" i="7"/>
  <c r="O459" i="7"/>
  <c r="O601" i="7"/>
  <c r="L31" i="8"/>
  <c r="L11" i="8" s="1"/>
  <c r="K616" i="11"/>
  <c r="K431" i="6"/>
  <c r="K455" i="6"/>
  <c r="K498" i="6"/>
  <c r="K564" i="6"/>
  <c r="K617" i="6"/>
  <c r="K624" i="6"/>
  <c r="L33" i="7"/>
  <c r="O33" i="7" s="1"/>
  <c r="P275" i="8"/>
  <c r="N331" i="8"/>
  <c r="N329" i="8" s="1"/>
  <c r="O568" i="8"/>
  <c r="K617" i="8"/>
  <c r="K629" i="8"/>
  <c r="N644" i="8"/>
  <c r="N640" i="8" s="1"/>
  <c r="N638" i="8" s="1"/>
  <c r="N636" i="8" s="1"/>
  <c r="K665" i="8"/>
  <c r="N26" i="9"/>
  <c r="N16" i="9" s="1"/>
  <c r="N55" i="9"/>
  <c r="N53" i="9" s="1"/>
  <c r="K200" i="9"/>
  <c r="L254" i="9"/>
  <c r="O254" i="9" s="1"/>
  <c r="O347" i="9"/>
  <c r="K547" i="10"/>
  <c r="K629" i="10"/>
  <c r="M96" i="11"/>
  <c r="P96" i="11" s="1"/>
  <c r="P98" i="11"/>
  <c r="K189" i="6"/>
  <c r="P224" i="6"/>
  <c r="L314" i="6"/>
  <c r="L333" i="6"/>
  <c r="O333" i="6" s="1"/>
  <c r="K349" i="6"/>
  <c r="K432" i="6"/>
  <c r="O455" i="6"/>
  <c r="K481" i="6"/>
  <c r="O537" i="6"/>
  <c r="N33" i="6"/>
  <c r="N13" i="6" s="1"/>
  <c r="O599" i="6"/>
  <c r="K633" i="6"/>
  <c r="O661" i="6"/>
  <c r="O665" i="6"/>
  <c r="P57" i="7"/>
  <c r="L144" i="7"/>
  <c r="O144" i="7" s="1"/>
  <c r="O385" i="7"/>
  <c r="K499" i="7"/>
  <c r="K597" i="7"/>
  <c r="K630" i="7"/>
  <c r="L24" i="8"/>
  <c r="O24" i="8" s="1"/>
  <c r="N68" i="8"/>
  <c r="N66" i="8" s="1"/>
  <c r="N120" i="8"/>
  <c r="N118" i="8" s="1"/>
  <c r="O349" i="8"/>
  <c r="K370" i="8"/>
  <c r="K421" i="8"/>
  <c r="K633" i="8"/>
  <c r="K164" i="9"/>
  <c r="K426" i="9"/>
  <c r="K450" i="9"/>
  <c r="K431" i="12"/>
  <c r="O439" i="12"/>
  <c r="L34" i="12"/>
  <c r="M273" i="13"/>
  <c r="P273" i="13" s="1"/>
  <c r="P275" i="13"/>
  <c r="M26" i="13"/>
  <c r="M16" i="13" s="1"/>
  <c r="P337" i="13"/>
  <c r="M331" i="13"/>
  <c r="M329" i="13" s="1"/>
  <c r="K235" i="9"/>
  <c r="K401" i="9"/>
  <c r="K423" i="9"/>
  <c r="K547" i="9"/>
  <c r="K573" i="9"/>
  <c r="O597" i="9"/>
  <c r="K619" i="9"/>
  <c r="K631" i="9"/>
  <c r="K668" i="9"/>
  <c r="K158" i="10"/>
  <c r="K204" i="10"/>
  <c r="O347" i="10"/>
  <c r="O354" i="10"/>
  <c r="K398" i="10"/>
  <c r="K420" i="10"/>
  <c r="K427" i="10"/>
  <c r="O437" i="10"/>
  <c r="K633" i="10"/>
  <c r="L640" i="10"/>
  <c r="L638" i="10" s="1"/>
  <c r="O665" i="10"/>
  <c r="K341" i="11"/>
  <c r="O401" i="11"/>
  <c r="K426" i="11"/>
  <c r="K482" i="11"/>
  <c r="O566" i="11"/>
  <c r="K619" i="11"/>
  <c r="K634" i="11"/>
  <c r="J651" i="11"/>
  <c r="L23" i="12"/>
  <c r="O23" i="12" s="1"/>
  <c r="K108" i="12"/>
  <c r="K377" i="12"/>
  <c r="K381" i="12"/>
  <c r="O455" i="12"/>
  <c r="O459" i="12"/>
  <c r="K465" i="12"/>
  <c r="O533" i="12"/>
  <c r="N33" i="12"/>
  <c r="N13" i="12" s="1"/>
  <c r="O566" i="12"/>
  <c r="O665" i="12"/>
  <c r="J671" i="12"/>
  <c r="K671" i="12" s="1"/>
  <c r="K235" i="13"/>
  <c r="N273" i="13"/>
  <c r="N271" i="13" s="1"/>
  <c r="L314" i="13"/>
  <c r="K432" i="13"/>
  <c r="K449" i="13"/>
  <c r="O459" i="13"/>
  <c r="K465" i="13"/>
  <c r="K482" i="13"/>
  <c r="O533" i="13"/>
  <c r="O671" i="13"/>
  <c r="N55" i="14"/>
  <c r="N53" i="14" s="1"/>
  <c r="N96" i="14"/>
  <c r="N94" i="14" s="1"/>
  <c r="N33" i="9"/>
  <c r="N13" i="9" s="1"/>
  <c r="M55" i="10"/>
  <c r="M53" i="10" s="1"/>
  <c r="K431" i="10"/>
  <c r="O568" i="10"/>
  <c r="O337" i="13"/>
  <c r="O601" i="9"/>
  <c r="K628" i="9"/>
  <c r="K665" i="9"/>
  <c r="K216" i="10"/>
  <c r="K375" i="10"/>
  <c r="K634" i="10"/>
  <c r="J651" i="10"/>
  <c r="K651" i="10" s="1"/>
  <c r="N43" i="11"/>
  <c r="N41" i="11" s="1"/>
  <c r="N222" i="11"/>
  <c r="N220" i="11" s="1"/>
  <c r="N292" i="11"/>
  <c r="N290" i="11" s="1"/>
  <c r="K450" i="11"/>
  <c r="K473" i="11"/>
  <c r="O537" i="11"/>
  <c r="K573" i="11"/>
  <c r="K626" i="11"/>
  <c r="L57" i="12"/>
  <c r="L55" i="12" s="1"/>
  <c r="K109" i="12"/>
  <c r="N120" i="12"/>
  <c r="N118" i="12" s="1"/>
  <c r="K213" i="12"/>
  <c r="K219" i="12"/>
  <c r="L294" i="12"/>
  <c r="K419" i="12"/>
  <c r="N31" i="12"/>
  <c r="N11" i="12" s="1"/>
  <c r="N9" i="12" s="1"/>
  <c r="K466" i="12"/>
  <c r="O537" i="12"/>
  <c r="K621" i="12"/>
  <c r="K624" i="12"/>
  <c r="K64" i="13"/>
  <c r="K173" i="13"/>
  <c r="O648" i="13"/>
  <c r="O665" i="13"/>
  <c r="M26" i="15"/>
  <c r="M331" i="15"/>
  <c r="L26" i="10"/>
  <c r="L16" i="10" s="1"/>
  <c r="N252" i="10"/>
  <c r="N250" i="10" s="1"/>
  <c r="N31" i="11"/>
  <c r="N29" i="11" s="1"/>
  <c r="N68" i="12"/>
  <c r="N66" i="12" s="1"/>
  <c r="K620" i="13"/>
  <c r="K219" i="9"/>
  <c r="N292" i="9"/>
  <c r="N290" i="9" s="1"/>
  <c r="N312" i="9"/>
  <c r="N310" i="9" s="1"/>
  <c r="K402" i="9"/>
  <c r="K421" i="9"/>
  <c r="K613" i="9"/>
  <c r="K624" i="9"/>
  <c r="O665" i="9"/>
  <c r="L34" i="10"/>
  <c r="K396" i="10"/>
  <c r="N31" i="10"/>
  <c r="N29" i="10" s="1"/>
  <c r="K429" i="10"/>
  <c r="K432" i="10"/>
  <c r="K620" i="10"/>
  <c r="K623" i="10"/>
  <c r="K628" i="10"/>
  <c r="K631" i="10"/>
  <c r="O671" i="10"/>
  <c r="K199" i="11"/>
  <c r="K219" i="11"/>
  <c r="O383" i="11"/>
  <c r="K428" i="11"/>
  <c r="K455" i="11"/>
  <c r="K464" i="11"/>
  <c r="K474" i="11"/>
  <c r="K547" i="11"/>
  <c r="O564" i="11"/>
  <c r="O568" i="11"/>
  <c r="K615" i="11"/>
  <c r="K624" i="11"/>
  <c r="K628" i="11"/>
  <c r="L26" i="12"/>
  <c r="L16" i="12" s="1"/>
  <c r="L70" i="12"/>
  <c r="K110" i="12"/>
  <c r="L144" i="12"/>
  <c r="O144" i="12" s="1"/>
  <c r="K199" i="12"/>
  <c r="K204" i="12"/>
  <c r="N222" i="12"/>
  <c r="N220" i="12" s="1"/>
  <c r="L333" i="12"/>
  <c r="O354" i="12"/>
  <c r="K368" i="12"/>
  <c r="K375" i="12"/>
  <c r="K380" i="12"/>
  <c r="K416" i="12"/>
  <c r="K420" i="12"/>
  <c r="K427" i="12"/>
  <c r="O457" i="12"/>
  <c r="K573" i="12"/>
  <c r="O580" i="12"/>
  <c r="K663" i="12"/>
  <c r="O671" i="12"/>
  <c r="K65" i="13"/>
  <c r="K158" i="13"/>
  <c r="P224" i="13"/>
  <c r="N331" i="13"/>
  <c r="N329" i="13" s="1"/>
  <c r="O457" i="13"/>
  <c r="K498" i="13"/>
  <c r="K547" i="13"/>
  <c r="O49" i="14"/>
  <c r="L31" i="10"/>
  <c r="N26" i="10"/>
  <c r="N16" i="10" s="1"/>
  <c r="O380" i="10"/>
  <c r="K419" i="10"/>
  <c r="N68" i="13"/>
  <c r="N66" i="13" s="1"/>
  <c r="N68" i="14"/>
  <c r="N66" i="14" s="1"/>
  <c r="K597" i="9"/>
  <c r="K630" i="9"/>
  <c r="J651" i="9"/>
  <c r="L57" i="10"/>
  <c r="L55" i="10" s="1"/>
  <c r="K199" i="10"/>
  <c r="K219" i="10"/>
  <c r="N292" i="10"/>
  <c r="N290" i="10" s="1"/>
  <c r="K350" i="10"/>
  <c r="O404" i="10"/>
  <c r="K423" i="10"/>
  <c r="K426" i="10"/>
  <c r="K449" i="10"/>
  <c r="O601" i="10"/>
  <c r="K650" i="10"/>
  <c r="L70" i="11"/>
  <c r="O70" i="11" s="1"/>
  <c r="K158" i="11"/>
  <c r="L333" i="11"/>
  <c r="O380" i="11"/>
  <c r="K397" i="11"/>
  <c r="O404" i="11"/>
  <c r="K422" i="11"/>
  <c r="K429" i="11"/>
  <c r="L31" i="11"/>
  <c r="L11" i="11" s="1"/>
  <c r="N34" i="11"/>
  <c r="N14" i="11" s="1"/>
  <c r="K597" i="11"/>
  <c r="K629" i="11"/>
  <c r="K111" i="12"/>
  <c r="K158" i="12"/>
  <c r="K200" i="12"/>
  <c r="K216" i="12"/>
  <c r="L224" i="12"/>
  <c r="N271" i="12"/>
  <c r="K349" i="12"/>
  <c r="K372" i="12"/>
  <c r="O380" i="12"/>
  <c r="K417" i="12"/>
  <c r="K421" i="12"/>
  <c r="K424" i="12"/>
  <c r="K435" i="12"/>
  <c r="K533" i="12"/>
  <c r="K665" i="12"/>
  <c r="L24" i="13"/>
  <c r="O24" i="13" s="1"/>
  <c r="K149" i="13"/>
  <c r="L224" i="13"/>
  <c r="O224" i="13" s="1"/>
  <c r="O404" i="13"/>
  <c r="K424" i="13"/>
  <c r="O439" i="13"/>
  <c r="K499" i="13"/>
  <c r="K533" i="13"/>
  <c r="K621" i="13"/>
  <c r="N273" i="14"/>
  <c r="N271" i="14" s="1"/>
  <c r="N292" i="14"/>
  <c r="N290" i="14" s="1"/>
  <c r="K340" i="14"/>
  <c r="O347" i="14"/>
  <c r="K449" i="14"/>
  <c r="K465" i="14"/>
  <c r="K497" i="14"/>
  <c r="N32" i="14"/>
  <c r="N30" i="14" s="1"/>
  <c r="K619" i="14"/>
  <c r="K614" i="14"/>
  <c r="K633" i="14"/>
  <c r="P98" i="15"/>
  <c r="K164" i="15"/>
  <c r="K265" i="15"/>
  <c r="K270" i="15"/>
  <c r="N292" i="15"/>
  <c r="N290" i="15" s="1"/>
  <c r="K340" i="15"/>
  <c r="K370" i="15"/>
  <c r="N33" i="15"/>
  <c r="N13" i="15" s="1"/>
  <c r="O404" i="15"/>
  <c r="K424" i="15"/>
  <c r="K450" i="15"/>
  <c r="K455" i="15"/>
  <c r="K547" i="15"/>
  <c r="K564" i="15"/>
  <c r="K623" i="15"/>
  <c r="P98" i="16"/>
  <c r="K113" i="16"/>
  <c r="L122" i="16"/>
  <c r="L120" i="16" s="1"/>
  <c r="P144" i="16"/>
  <c r="N32" i="16"/>
  <c r="N30" i="16" s="1"/>
  <c r="K431" i="16"/>
  <c r="O537" i="16"/>
  <c r="K626" i="16"/>
  <c r="K630" i="16"/>
  <c r="M26" i="17"/>
  <c r="P74" i="17"/>
  <c r="K81" i="17"/>
  <c r="K133" i="17"/>
  <c r="K264" i="17"/>
  <c r="K423" i="14"/>
  <c r="K426" i="14"/>
  <c r="K430" i="14"/>
  <c r="N55" i="15"/>
  <c r="N53" i="15" s="1"/>
  <c r="N31" i="15"/>
  <c r="K65" i="17"/>
  <c r="N96" i="17"/>
  <c r="N94" i="17" s="1"/>
  <c r="N31" i="14"/>
  <c r="N29" i="14" s="1"/>
  <c r="O535" i="14"/>
  <c r="K597" i="14"/>
  <c r="O599" i="14"/>
  <c r="K668" i="14"/>
  <c r="P70" i="15"/>
  <c r="L122" i="15"/>
  <c r="O122" i="15" s="1"/>
  <c r="K266" i="15"/>
  <c r="L294" i="15"/>
  <c r="O294" i="15" s="1"/>
  <c r="K328" i="15"/>
  <c r="K341" i="15"/>
  <c r="K380" i="15"/>
  <c r="K421" i="15"/>
  <c r="K425" i="15"/>
  <c r="O455" i="15"/>
  <c r="O535" i="15"/>
  <c r="O564" i="15"/>
  <c r="O580" i="15"/>
  <c r="K629" i="15"/>
  <c r="K635" i="15"/>
  <c r="M252" i="16"/>
  <c r="P252" i="16" s="1"/>
  <c r="P333" i="16"/>
  <c r="N33" i="16"/>
  <c r="N13" i="16" s="1"/>
  <c r="K573" i="16"/>
  <c r="K621" i="16"/>
  <c r="K624" i="16"/>
  <c r="J671" i="16"/>
  <c r="K173" i="14"/>
  <c r="K219" i="14"/>
  <c r="P45" i="15"/>
  <c r="O337" i="15"/>
  <c r="L57" i="16"/>
  <c r="O57" i="16" s="1"/>
  <c r="P314" i="16"/>
  <c r="P45" i="17"/>
  <c r="P294" i="17"/>
  <c r="K164" i="14"/>
  <c r="P254" i="14"/>
  <c r="K345" i="14"/>
  <c r="O380" i="14"/>
  <c r="K481" i="14"/>
  <c r="L45" i="15"/>
  <c r="O45" i="15" s="1"/>
  <c r="P57" i="15"/>
  <c r="L70" i="15"/>
  <c r="K267" i="15"/>
  <c r="P333" i="15"/>
  <c r="K401" i="15"/>
  <c r="K613" i="15"/>
  <c r="K630" i="15"/>
  <c r="K108" i="16"/>
  <c r="K164" i="16"/>
  <c r="K235" i="16"/>
  <c r="L314" i="16"/>
  <c r="O314" i="16" s="1"/>
  <c r="O385" i="16"/>
  <c r="O406" i="16"/>
  <c r="K597" i="16"/>
  <c r="K612" i="16"/>
  <c r="J651" i="16"/>
  <c r="L45" i="17"/>
  <c r="L144" i="17"/>
  <c r="L142" i="17" s="1"/>
  <c r="K199" i="17"/>
  <c r="K266" i="17"/>
  <c r="L275" i="17"/>
  <c r="O275" i="17" s="1"/>
  <c r="K285" i="17"/>
  <c r="L294" i="17"/>
  <c r="L292" i="17" s="1"/>
  <c r="N33" i="14"/>
  <c r="N13" i="14" s="1"/>
  <c r="N26" i="15"/>
  <c r="N16" i="15" s="1"/>
  <c r="N34" i="15"/>
  <c r="N14" i="15" s="1"/>
  <c r="K625" i="16"/>
  <c r="N26" i="17"/>
  <c r="N16" i="17" s="1"/>
  <c r="K398" i="14"/>
  <c r="L144" i="15"/>
  <c r="O144" i="15" s="1"/>
  <c r="K199" i="15"/>
  <c r="K219" i="15"/>
  <c r="L254" i="15"/>
  <c r="O254" i="15" s="1"/>
  <c r="K264" i="15"/>
  <c r="L314" i="15"/>
  <c r="I367" i="15"/>
  <c r="K367" i="15" s="1"/>
  <c r="N644" i="15"/>
  <c r="N640" i="15" s="1"/>
  <c r="N638" i="15" s="1"/>
  <c r="N636" i="15" s="1"/>
  <c r="L70" i="16"/>
  <c r="L68" i="16" s="1"/>
  <c r="K423" i="16"/>
  <c r="K435" i="16"/>
  <c r="K200" i="17"/>
  <c r="L275" i="16"/>
  <c r="O275" i="16" s="1"/>
  <c r="K617" i="16"/>
  <c r="K620" i="16"/>
  <c r="K623" i="16"/>
  <c r="K84" i="17"/>
  <c r="K340" i="17"/>
  <c r="O347" i="17"/>
  <c r="K368" i="17"/>
  <c r="K397" i="17"/>
  <c r="K425" i="17"/>
  <c r="K429" i="17"/>
  <c r="O459" i="17"/>
  <c r="K533" i="17"/>
  <c r="O535" i="17"/>
  <c r="K618" i="17"/>
  <c r="K630" i="17"/>
  <c r="K634" i="17"/>
  <c r="J651" i="17"/>
  <c r="K651" i="17" s="1"/>
  <c r="P45" i="18"/>
  <c r="K158" i="18"/>
  <c r="K185" i="18"/>
  <c r="K200" i="18"/>
  <c r="K324" i="18"/>
  <c r="O337" i="18"/>
  <c r="K345" i="18"/>
  <c r="K396" i="18"/>
  <c r="K432" i="18"/>
  <c r="K481" i="18"/>
  <c r="K498" i="18"/>
  <c r="N33" i="18"/>
  <c r="N13" i="18" s="1"/>
  <c r="N31" i="18"/>
  <c r="O597" i="18"/>
  <c r="L45" i="19"/>
  <c r="L43" i="19" s="1"/>
  <c r="N68" i="19"/>
  <c r="N66" i="19" s="1"/>
  <c r="P224" i="19"/>
  <c r="P275" i="19"/>
  <c r="P294" i="19"/>
  <c r="O352" i="19"/>
  <c r="O380" i="19"/>
  <c r="K401" i="19"/>
  <c r="K416" i="19"/>
  <c r="K426" i="19"/>
  <c r="K464" i="19"/>
  <c r="O582" i="19"/>
  <c r="O337" i="20"/>
  <c r="M337" i="20"/>
  <c r="M26" i="20" s="1"/>
  <c r="M16" i="20" s="1"/>
  <c r="J447" i="1"/>
  <c r="N556" i="1"/>
  <c r="J229" i="1"/>
  <c r="O582" i="21"/>
  <c r="L640" i="22"/>
  <c r="L638" i="22" s="1"/>
  <c r="N222" i="19"/>
  <c r="N220" i="19" s="1"/>
  <c r="N273" i="19"/>
  <c r="N271" i="19" s="1"/>
  <c r="O649" i="19"/>
  <c r="L640" i="19"/>
  <c r="L638" i="19" s="1"/>
  <c r="J491" i="1"/>
  <c r="J594" i="1"/>
  <c r="K663" i="20"/>
  <c r="K416" i="21"/>
  <c r="K630" i="22"/>
  <c r="O380" i="17"/>
  <c r="K418" i="17"/>
  <c r="K473" i="17"/>
  <c r="K597" i="17"/>
  <c r="M312" i="18"/>
  <c r="M310" i="18" s="1"/>
  <c r="M102" i="19"/>
  <c r="M96" i="19" s="1"/>
  <c r="K397" i="19"/>
  <c r="K398" i="17"/>
  <c r="K402" i="17"/>
  <c r="K426" i="17"/>
  <c r="O437" i="17"/>
  <c r="K466" i="17"/>
  <c r="K621" i="17"/>
  <c r="M22" i="18"/>
  <c r="M12" i="18" s="1"/>
  <c r="P294" i="18"/>
  <c r="I367" i="18"/>
  <c r="K367" i="18" s="1"/>
  <c r="K595" i="18"/>
  <c r="J671" i="18"/>
  <c r="O337" i="19"/>
  <c r="J428" i="1"/>
  <c r="O651" i="20"/>
  <c r="L640" i="20"/>
  <c r="L638" i="20" s="1"/>
  <c r="M96" i="21"/>
  <c r="P96" i="21" s="1"/>
  <c r="P98" i="21"/>
  <c r="K345" i="17"/>
  <c r="O349" i="17"/>
  <c r="K370" i="17"/>
  <c r="K377" i="17"/>
  <c r="K381" i="17"/>
  <c r="K419" i="17"/>
  <c r="K474" i="17"/>
  <c r="K482" i="17"/>
  <c r="K499" i="17"/>
  <c r="O601" i="17"/>
  <c r="K628" i="17"/>
  <c r="L70" i="18"/>
  <c r="N120" i="18"/>
  <c r="N118" i="18" s="1"/>
  <c r="K213" i="18"/>
  <c r="K229" i="18"/>
  <c r="K328" i="18"/>
  <c r="L333" i="18"/>
  <c r="L331" i="18" s="1"/>
  <c r="K381" i="18"/>
  <c r="O401" i="18"/>
  <c r="K427" i="18"/>
  <c r="K430" i="18"/>
  <c r="K435" i="18"/>
  <c r="O457" i="18"/>
  <c r="K466" i="18"/>
  <c r="K573" i="18"/>
  <c r="K589" i="18"/>
  <c r="K631" i="18"/>
  <c r="K634" i="18"/>
  <c r="L31" i="19"/>
  <c r="O31" i="19" s="1"/>
  <c r="M22" i="19"/>
  <c r="M12" i="19" s="1"/>
  <c r="K112" i="19"/>
  <c r="K132" i="19"/>
  <c r="N142" i="19"/>
  <c r="N140" i="19" s="1"/>
  <c r="K235" i="19"/>
  <c r="N292" i="19"/>
  <c r="N290" i="19" s="1"/>
  <c r="P314" i="19"/>
  <c r="M337" i="19"/>
  <c r="P337" i="19" s="1"/>
  <c r="K424" i="19"/>
  <c r="O457" i="19"/>
  <c r="N31" i="19"/>
  <c r="N29" i="19" s="1"/>
  <c r="K628" i="19"/>
  <c r="I519" i="1"/>
  <c r="I523" i="1"/>
  <c r="I527" i="1"/>
  <c r="I531" i="1"/>
  <c r="K619" i="20"/>
  <c r="O383" i="21"/>
  <c r="O439" i="21"/>
  <c r="K564" i="21"/>
  <c r="N31" i="17"/>
  <c r="L24" i="18"/>
  <c r="O24" i="18" s="1"/>
  <c r="J413" i="1"/>
  <c r="O436" i="21"/>
  <c r="L31" i="21"/>
  <c r="L11" i="21" s="1"/>
  <c r="O648" i="17"/>
  <c r="N26" i="18"/>
  <c r="N16" i="18" s="1"/>
  <c r="K628" i="18"/>
  <c r="P45" i="19"/>
  <c r="K267" i="19"/>
  <c r="K620" i="19"/>
  <c r="K626" i="19"/>
  <c r="K621" i="19"/>
  <c r="O564" i="17"/>
  <c r="K573" i="17"/>
  <c r="K611" i="17"/>
  <c r="N292" i="18"/>
  <c r="N290" i="18" s="1"/>
  <c r="N34" i="18"/>
  <c r="N14" i="18" s="1"/>
  <c r="K616" i="18"/>
  <c r="K113" i="19"/>
  <c r="M120" i="19"/>
  <c r="K380" i="19"/>
  <c r="K425" i="19"/>
  <c r="K595" i="19"/>
  <c r="K629" i="19"/>
  <c r="K632" i="19"/>
  <c r="P57" i="20"/>
  <c r="M96" i="20"/>
  <c r="P96" i="20" s="1"/>
  <c r="L122" i="20"/>
  <c r="O122" i="20" s="1"/>
  <c r="K229" i="20"/>
  <c r="N331" i="20"/>
  <c r="N329" i="20" s="1"/>
  <c r="O406" i="20"/>
  <c r="K432" i="20"/>
  <c r="N32" i="20"/>
  <c r="N30" i="20" s="1"/>
  <c r="O597" i="20"/>
  <c r="K612" i="20"/>
  <c r="K625" i="20"/>
  <c r="P45" i="21"/>
  <c r="K64" i="21"/>
  <c r="L122" i="21"/>
  <c r="O122" i="21" s="1"/>
  <c r="K158" i="21"/>
  <c r="N273" i="21"/>
  <c r="P273" i="21" s="1"/>
  <c r="P314" i="21"/>
  <c r="K370" i="21"/>
  <c r="K397" i="21"/>
  <c r="O401" i="21"/>
  <c r="K423" i="21"/>
  <c r="K464" i="21"/>
  <c r="K474" i="21"/>
  <c r="K481" i="21"/>
  <c r="K573" i="21"/>
  <c r="K635" i="21"/>
  <c r="K650" i="21"/>
  <c r="J671" i="21"/>
  <c r="K671" i="21" s="1"/>
  <c r="P122" i="22"/>
  <c r="N292" i="22"/>
  <c r="N290" i="22" s="1"/>
  <c r="N331" i="22"/>
  <c r="N329" i="22" s="1"/>
  <c r="N33" i="22"/>
  <c r="N13" i="22" s="1"/>
  <c r="K449" i="22"/>
  <c r="N22" i="20"/>
  <c r="N68" i="20"/>
  <c r="N66" i="20" s="1"/>
  <c r="P294" i="20"/>
  <c r="N644" i="21"/>
  <c r="N640" i="21" s="1"/>
  <c r="N638" i="21" s="1"/>
  <c r="N636" i="21" s="1"/>
  <c r="K613" i="22"/>
  <c r="K626" i="22"/>
  <c r="J651" i="22"/>
  <c r="K633" i="19"/>
  <c r="K650" i="19"/>
  <c r="K416" i="20"/>
  <c r="K426" i="20"/>
  <c r="K573" i="20"/>
  <c r="K634" i="20"/>
  <c r="L26" i="21"/>
  <c r="L16" i="21" s="1"/>
  <c r="P57" i="21"/>
  <c r="N68" i="21"/>
  <c r="N66" i="21" s="1"/>
  <c r="K149" i="21"/>
  <c r="L224" i="21"/>
  <c r="L222" i="21" s="1"/>
  <c r="L220" i="21" s="1"/>
  <c r="K341" i="21"/>
  <c r="N34" i="21"/>
  <c r="N14" i="21" s="1"/>
  <c r="K398" i="21"/>
  <c r="K402" i="21"/>
  <c r="K427" i="21"/>
  <c r="K435" i="21"/>
  <c r="K465" i="21"/>
  <c r="K498" i="21"/>
  <c r="N31" i="21"/>
  <c r="N29" i="21" s="1"/>
  <c r="O568" i="21"/>
  <c r="O580" i="21"/>
  <c r="O650" i="21"/>
  <c r="L45" i="22"/>
  <c r="L43" i="22" s="1"/>
  <c r="L41" i="22" s="1"/>
  <c r="L144" i="22"/>
  <c r="N252" i="22"/>
  <c r="N250" i="22" s="1"/>
  <c r="L24" i="22"/>
  <c r="O24" i="22" s="1"/>
  <c r="P314" i="22"/>
  <c r="N34" i="22"/>
  <c r="N14" i="22" s="1"/>
  <c r="K402" i="22"/>
  <c r="K435" i="22"/>
  <c r="K450" i="22"/>
  <c r="K628" i="22"/>
  <c r="N222" i="20"/>
  <c r="N220" i="20" s="1"/>
  <c r="K423" i="20"/>
  <c r="O437" i="20"/>
  <c r="K533" i="20"/>
  <c r="K614" i="20"/>
  <c r="K620" i="20"/>
  <c r="K623" i="20"/>
  <c r="O661" i="20"/>
  <c r="L70" i="21"/>
  <c r="O70" i="21" s="1"/>
  <c r="K80" i="21"/>
  <c r="M120" i="21"/>
  <c r="M118" i="21" s="1"/>
  <c r="N292" i="21"/>
  <c r="N290" i="21" s="1"/>
  <c r="O337" i="21"/>
  <c r="O385" i="21"/>
  <c r="O584" i="21"/>
  <c r="N55" i="20"/>
  <c r="N53" i="20" s="1"/>
  <c r="N312" i="20"/>
  <c r="N310" i="20" s="1"/>
  <c r="K435" i="20"/>
  <c r="N312" i="21"/>
  <c r="N310" i="21" s="1"/>
  <c r="K345" i="21"/>
  <c r="K164" i="20"/>
  <c r="L333" i="20"/>
  <c r="L331" i="20" s="1"/>
  <c r="K424" i="20"/>
  <c r="N142" i="21"/>
  <c r="N140" i="21" s="1"/>
  <c r="K466" i="21"/>
  <c r="O352" i="22"/>
  <c r="K401" i="22"/>
  <c r="K429" i="22"/>
  <c r="N32" i="22"/>
  <c r="N30" i="22" s="1"/>
  <c r="K533" i="22"/>
  <c r="K663" i="19"/>
  <c r="K158" i="20"/>
  <c r="K235" i="20"/>
  <c r="L314" i="20"/>
  <c r="L312" i="20" s="1"/>
  <c r="O312" i="20" s="1"/>
  <c r="K402" i="20"/>
  <c r="O435" i="20"/>
  <c r="K597" i="20"/>
  <c r="K621" i="20"/>
  <c r="J651" i="20"/>
  <c r="L144" i="21"/>
  <c r="O144" i="21" s="1"/>
  <c r="L254" i="21"/>
  <c r="O254" i="21" s="1"/>
  <c r="K264" i="21"/>
  <c r="L275" i="21"/>
  <c r="O275" i="21" s="1"/>
  <c r="O349" i="21"/>
  <c r="K401" i="21"/>
  <c r="K422" i="21"/>
  <c r="K451" i="21"/>
  <c r="O597" i="21"/>
  <c r="K620" i="21"/>
  <c r="K623" i="21"/>
  <c r="K631" i="21"/>
  <c r="K634" i="21"/>
  <c r="O651" i="21"/>
  <c r="L70" i="22"/>
  <c r="O70" i="22" s="1"/>
  <c r="N26" i="22"/>
  <c r="N16" i="22" s="1"/>
  <c r="L275" i="22"/>
  <c r="K370" i="22"/>
  <c r="O404" i="22"/>
  <c r="K426" i="22"/>
  <c r="N31" i="22"/>
  <c r="N11" i="22" s="1"/>
  <c r="N9" i="22" s="1"/>
  <c r="K633" i="22"/>
  <c r="P21" i="1"/>
  <c r="M11" i="1"/>
  <c r="M19" i="1"/>
  <c r="O19" i="2"/>
  <c r="M118" i="2"/>
  <c r="P9" i="2"/>
  <c r="P19" i="2"/>
  <c r="P68" i="2"/>
  <c r="M66" i="2"/>
  <c r="O21" i="1"/>
  <c r="L19" i="1"/>
  <c r="M43" i="2"/>
  <c r="P49" i="2"/>
  <c r="N19" i="1"/>
  <c r="N222" i="2"/>
  <c r="L26" i="3"/>
  <c r="O102" i="3"/>
  <c r="P224" i="4"/>
  <c r="M222" i="4"/>
  <c r="M292" i="4"/>
  <c r="P294" i="4"/>
  <c r="L31" i="4"/>
  <c r="O351" i="4"/>
  <c r="P21" i="21"/>
  <c r="M11" i="21"/>
  <c r="M19" i="21"/>
  <c r="L59" i="1"/>
  <c r="I83" i="1"/>
  <c r="K83" i="1" s="1"/>
  <c r="M95" i="1"/>
  <c r="P95" i="1" s="1"/>
  <c r="L126" i="1"/>
  <c r="O126" i="1" s="1"/>
  <c r="J132" i="1"/>
  <c r="J138" i="1"/>
  <c r="M141" i="1"/>
  <c r="P141" i="1" s="1"/>
  <c r="I328" i="1"/>
  <c r="N582" i="1"/>
  <c r="K93" i="2"/>
  <c r="L640" i="2"/>
  <c r="O648" i="2"/>
  <c r="P19" i="3"/>
  <c r="N22" i="3"/>
  <c r="N43" i="3"/>
  <c r="N41" i="3" s="1"/>
  <c r="P41" i="3" s="1"/>
  <c r="P45" i="3"/>
  <c r="K431" i="3"/>
  <c r="K573" i="3"/>
  <c r="K665" i="3"/>
  <c r="M28" i="4"/>
  <c r="P28" i="4" s="1"/>
  <c r="P30" i="4"/>
  <c r="P67" i="4"/>
  <c r="M66" i="4"/>
  <c r="P66" i="4" s="1"/>
  <c r="O141" i="4"/>
  <c r="N222" i="4"/>
  <c r="N220" i="4" s="1"/>
  <c r="M312" i="4"/>
  <c r="M310" i="4" s="1"/>
  <c r="P310" i="4" s="1"/>
  <c r="P314" i="4"/>
  <c r="O102" i="5"/>
  <c r="M102" i="5"/>
  <c r="M96" i="5" s="1"/>
  <c r="M43" i="7"/>
  <c r="P49" i="7"/>
  <c r="M26" i="7"/>
  <c r="P29" i="3"/>
  <c r="O95" i="4"/>
  <c r="O251" i="4"/>
  <c r="O122" i="5"/>
  <c r="L120" i="5"/>
  <c r="O536" i="5"/>
  <c r="L33" i="5"/>
  <c r="O33" i="5" s="1"/>
  <c r="P314" i="15"/>
  <c r="M312" i="15"/>
  <c r="M224" i="1"/>
  <c r="M13" i="1"/>
  <c r="P13" i="1" s="1"/>
  <c r="N224" i="1"/>
  <c r="L31" i="2"/>
  <c r="P45" i="2"/>
  <c r="O61" i="2"/>
  <c r="O74" i="2"/>
  <c r="L98" i="2"/>
  <c r="M102" i="2"/>
  <c r="K110" i="2"/>
  <c r="L144" i="2"/>
  <c r="N644" i="2"/>
  <c r="N640" i="2" s="1"/>
  <c r="N638" i="2" s="1"/>
  <c r="N636" i="2" s="1"/>
  <c r="O25" i="3"/>
  <c r="L15" i="3"/>
  <c r="O15" i="3" s="1"/>
  <c r="P70" i="3"/>
  <c r="M68" i="3"/>
  <c r="P144" i="3"/>
  <c r="M142" i="3"/>
  <c r="L23" i="3"/>
  <c r="L224" i="3"/>
  <c r="K369" i="3"/>
  <c r="I367" i="3"/>
  <c r="K367" i="3" s="1"/>
  <c r="O385" i="3"/>
  <c r="P29" i="5"/>
  <c r="M28" i="5"/>
  <c r="P28" i="5" s="1"/>
  <c r="P314" i="5"/>
  <c r="M312" i="5"/>
  <c r="O459" i="5"/>
  <c r="N34" i="5"/>
  <c r="N14" i="5" s="1"/>
  <c r="M14" i="8"/>
  <c r="P14" i="8" s="1"/>
  <c r="P34" i="8"/>
  <c r="O19" i="3"/>
  <c r="P221" i="3"/>
  <c r="M220" i="3"/>
  <c r="O67" i="4"/>
  <c r="L15" i="1"/>
  <c r="O15" i="1" s="1"/>
  <c r="M28" i="1"/>
  <c r="P28" i="1" s="1"/>
  <c r="N67" i="1"/>
  <c r="M221" i="1"/>
  <c r="P221" i="1" s="1"/>
  <c r="L251" i="1"/>
  <c r="O251" i="1" s="1"/>
  <c r="O274" i="1"/>
  <c r="M13" i="2"/>
  <c r="P13" i="2" s="1"/>
  <c r="P32" i="2"/>
  <c r="N43" i="2"/>
  <c r="N41" i="2" s="1"/>
  <c r="M53" i="2"/>
  <c r="M140" i="2"/>
  <c r="K158" i="2"/>
  <c r="K189" i="2"/>
  <c r="K270" i="2"/>
  <c r="M298" i="2"/>
  <c r="M292" i="2" s="1"/>
  <c r="O311" i="2"/>
  <c r="K396" i="2"/>
  <c r="K432" i="2"/>
  <c r="O455" i="2"/>
  <c r="K631" i="2"/>
  <c r="P11" i="3"/>
  <c r="P275" i="3"/>
  <c r="M273" i="3"/>
  <c r="M310" i="3"/>
  <c r="P310" i="3" s="1"/>
  <c r="P312" i="3"/>
  <c r="O330" i="3"/>
  <c r="L32" i="3"/>
  <c r="O383" i="3"/>
  <c r="K426" i="3"/>
  <c r="M19" i="4"/>
  <c r="P21" i="4"/>
  <c r="M11" i="4"/>
  <c r="P102" i="4"/>
  <c r="M96" i="4"/>
  <c r="P24" i="6"/>
  <c r="M14" i="6"/>
  <c r="P14" i="6" s="1"/>
  <c r="P11" i="2"/>
  <c r="L15" i="2"/>
  <c r="O15" i="2" s="1"/>
  <c r="L24" i="2"/>
  <c r="M28" i="2"/>
  <c r="P28" i="2" s="1"/>
  <c r="L33" i="2"/>
  <c r="O33" i="2" s="1"/>
  <c r="K235" i="2"/>
  <c r="P330" i="2"/>
  <c r="M329" i="2"/>
  <c r="K343" i="2"/>
  <c r="K173" i="3"/>
  <c r="N273" i="3"/>
  <c r="O380" i="3"/>
  <c r="O534" i="3"/>
  <c r="L31" i="3"/>
  <c r="K615" i="3"/>
  <c r="K612" i="3"/>
  <c r="K617" i="3"/>
  <c r="K614" i="3"/>
  <c r="K619" i="3"/>
  <c r="K611" i="3"/>
  <c r="K616" i="3"/>
  <c r="N19" i="4"/>
  <c r="O49" i="4"/>
  <c r="N26" i="4"/>
  <c r="N16" i="4" s="1"/>
  <c r="K112" i="4"/>
  <c r="O119" i="4"/>
  <c r="K189" i="4"/>
  <c r="K270" i="4"/>
  <c r="P311" i="4"/>
  <c r="P330" i="4"/>
  <c r="K370" i="4"/>
  <c r="P57" i="5"/>
  <c r="O21" i="6"/>
  <c r="L19" i="6"/>
  <c r="O405" i="8"/>
  <c r="L33" i="8"/>
  <c r="O33" i="8" s="1"/>
  <c r="I213" i="1"/>
  <c r="N382" i="1"/>
  <c r="I451" i="1"/>
  <c r="I502" i="1"/>
  <c r="K502" i="1" s="1"/>
  <c r="L536" i="1"/>
  <c r="O272" i="2"/>
  <c r="P23" i="3"/>
  <c r="M13" i="3"/>
  <c r="P13" i="3" s="1"/>
  <c r="M30" i="3"/>
  <c r="P30" i="3" s="1"/>
  <c r="P32" i="3"/>
  <c r="P95" i="3"/>
  <c r="P122" i="3"/>
  <c r="M120" i="3"/>
  <c r="L33" i="3"/>
  <c r="O33" i="3" s="1"/>
  <c r="O353" i="3"/>
  <c r="P119" i="4"/>
  <c r="M118" i="4"/>
  <c r="N55" i="5"/>
  <c r="N53" i="5" s="1"/>
  <c r="N22" i="5"/>
  <c r="O49" i="6"/>
  <c r="L26" i="6"/>
  <c r="O353" i="6"/>
  <c r="L33" i="6"/>
  <c r="O33" i="6" s="1"/>
  <c r="O437" i="6"/>
  <c r="L32" i="6"/>
  <c r="N96" i="7"/>
  <c r="N94" i="7" s="1"/>
  <c r="N22" i="7"/>
  <c r="I176" i="1"/>
  <c r="L102" i="1"/>
  <c r="M314" i="1"/>
  <c r="L26" i="2"/>
  <c r="P272" i="2"/>
  <c r="M271" i="2"/>
  <c r="P57" i="3"/>
  <c r="M55" i="3"/>
  <c r="M22" i="3"/>
  <c r="M26" i="3"/>
  <c r="P74" i="3"/>
  <c r="P254" i="3"/>
  <c r="M252" i="3"/>
  <c r="N33" i="3"/>
  <c r="N13" i="3" s="1"/>
  <c r="M22" i="4"/>
  <c r="P45" i="4"/>
  <c r="O54" i="4"/>
  <c r="O272" i="4"/>
  <c r="P294" i="5"/>
  <c r="P120" i="6"/>
  <c r="M118" i="6"/>
  <c r="P118" i="6" s="1"/>
  <c r="I418" i="1"/>
  <c r="M14" i="1"/>
  <c r="P14" i="1" s="1"/>
  <c r="M294" i="1"/>
  <c r="I309" i="1"/>
  <c r="L337" i="1"/>
  <c r="I349" i="1"/>
  <c r="I476" i="1"/>
  <c r="K476" i="1" s="1"/>
  <c r="I492" i="1"/>
  <c r="K492" i="1" s="1"/>
  <c r="I508" i="1"/>
  <c r="K508" i="1" s="1"/>
  <c r="I595" i="1"/>
  <c r="L23" i="2"/>
  <c r="L32" i="2"/>
  <c r="P224" i="2"/>
  <c r="M222" i="2"/>
  <c r="O251" i="2"/>
  <c r="L275" i="2"/>
  <c r="L24" i="3"/>
  <c r="L98" i="3"/>
  <c r="O221" i="3"/>
  <c r="N252" i="3"/>
  <c r="K398" i="3"/>
  <c r="K633" i="3"/>
  <c r="L23" i="4"/>
  <c r="N22" i="4"/>
  <c r="L57" i="4"/>
  <c r="L122" i="4"/>
  <c r="P272" i="4"/>
  <c r="M271" i="4"/>
  <c r="K341" i="4"/>
  <c r="K622" i="2"/>
  <c r="P254" i="5"/>
  <c r="M252" i="5"/>
  <c r="O291" i="6"/>
  <c r="M220" i="7"/>
  <c r="O294" i="9"/>
  <c r="L292" i="9"/>
  <c r="P311" i="9"/>
  <c r="K617" i="2"/>
  <c r="K625" i="2"/>
  <c r="O19" i="5"/>
  <c r="O25" i="5"/>
  <c r="L15" i="5"/>
  <c r="O15" i="5" s="1"/>
  <c r="N120" i="5"/>
  <c r="N118" i="5" s="1"/>
  <c r="O330" i="5"/>
  <c r="O279" i="7"/>
  <c r="L26" i="7"/>
  <c r="K624" i="7"/>
  <c r="K621" i="7"/>
  <c r="K626" i="7"/>
  <c r="K623" i="7"/>
  <c r="K625" i="7"/>
  <c r="K622" i="7"/>
  <c r="O19" i="8"/>
  <c r="O126" i="8"/>
  <c r="L26" i="8"/>
  <c r="K620" i="2"/>
  <c r="K622" i="3"/>
  <c r="M22" i="5"/>
  <c r="L23" i="5"/>
  <c r="L45" i="5"/>
  <c r="L26" i="5"/>
  <c r="P98" i="5"/>
  <c r="P144" i="5"/>
  <c r="M142" i="5"/>
  <c r="O352" i="5"/>
  <c r="O54" i="6"/>
  <c r="P21" i="7"/>
  <c r="M11" i="7"/>
  <c r="M19" i="7"/>
  <c r="L57" i="7"/>
  <c r="L23" i="7"/>
  <c r="P251" i="8"/>
  <c r="M250" i="2"/>
  <c r="K623" i="2"/>
  <c r="M15" i="3"/>
  <c r="P15" i="3" s="1"/>
  <c r="M329" i="3"/>
  <c r="M13" i="4"/>
  <c r="P13" i="4" s="1"/>
  <c r="N43" i="4"/>
  <c r="N41" i="4" s="1"/>
  <c r="O349" i="4"/>
  <c r="K449" i="4"/>
  <c r="K580" i="4"/>
  <c r="L640" i="4"/>
  <c r="N26" i="5"/>
  <c r="N16" i="5" s="1"/>
  <c r="N96" i="5"/>
  <c r="N94" i="5" s="1"/>
  <c r="P221" i="5"/>
  <c r="M220" i="5"/>
  <c r="P220" i="5" s="1"/>
  <c r="P275" i="5"/>
  <c r="K370" i="5"/>
  <c r="L31" i="5"/>
  <c r="N34" i="6"/>
  <c r="L24" i="6"/>
  <c r="O95" i="6"/>
  <c r="P254" i="6"/>
  <c r="N252" i="6"/>
  <c r="N250" i="6" s="1"/>
  <c r="N22" i="6"/>
  <c r="O67" i="7"/>
  <c r="L31" i="7"/>
  <c r="O382" i="7"/>
  <c r="O405" i="7"/>
  <c r="K620" i="7"/>
  <c r="N22" i="8"/>
  <c r="N96" i="8"/>
  <c r="N94" i="8" s="1"/>
  <c r="P141" i="8"/>
  <c r="M140" i="8"/>
  <c r="P11" i="10"/>
  <c r="K626" i="2"/>
  <c r="N68" i="5"/>
  <c r="N66" i="5" s="1"/>
  <c r="N273" i="5"/>
  <c r="N271" i="5" s="1"/>
  <c r="M29" i="6"/>
  <c r="P31" i="6"/>
  <c r="K421" i="4"/>
  <c r="K595" i="4"/>
  <c r="K621" i="4"/>
  <c r="K626" i="4"/>
  <c r="K623" i="4"/>
  <c r="K620" i="4"/>
  <c r="K625" i="4"/>
  <c r="K628" i="4"/>
  <c r="O665" i="4"/>
  <c r="M9" i="5"/>
  <c r="P11" i="5"/>
  <c r="M290" i="5"/>
  <c r="I367" i="5"/>
  <c r="K367" i="5" s="1"/>
  <c r="K371" i="5"/>
  <c r="O535" i="5"/>
  <c r="P42" i="6"/>
  <c r="L23" i="6"/>
  <c r="L45" i="6"/>
  <c r="P67" i="6"/>
  <c r="M66" i="6"/>
  <c r="N31" i="6"/>
  <c r="L45" i="7"/>
  <c r="L24" i="7"/>
  <c r="P19" i="8"/>
  <c r="I367" i="4"/>
  <c r="K367" i="4" s="1"/>
  <c r="K611" i="4"/>
  <c r="K619" i="4"/>
  <c r="M43" i="5"/>
  <c r="O61" i="5"/>
  <c r="M271" i="5"/>
  <c r="K620" i="5"/>
  <c r="L15" i="6"/>
  <c r="O15" i="6" s="1"/>
  <c r="M19" i="6"/>
  <c r="L122" i="6"/>
  <c r="O221" i="6"/>
  <c r="P330" i="6"/>
  <c r="O119" i="7"/>
  <c r="P311" i="7"/>
  <c r="L32" i="7"/>
  <c r="O555" i="8"/>
  <c r="L34" i="8"/>
  <c r="P333" i="9"/>
  <c r="M331" i="9"/>
  <c r="M22" i="9"/>
  <c r="O438" i="9"/>
  <c r="L33" i="9"/>
  <c r="O33" i="9" s="1"/>
  <c r="N644" i="9"/>
  <c r="N640" i="9" s="1"/>
  <c r="N638" i="9" s="1"/>
  <c r="N636" i="9" s="1"/>
  <c r="M22" i="7"/>
  <c r="P224" i="7"/>
  <c r="O42" i="8"/>
  <c r="L57" i="8"/>
  <c r="L23" i="8"/>
  <c r="L333" i="13"/>
  <c r="L23" i="13"/>
  <c r="K612" i="4"/>
  <c r="M55" i="5"/>
  <c r="K621" i="5"/>
  <c r="O119" i="6"/>
  <c r="M273" i="6"/>
  <c r="K176" i="7"/>
  <c r="P294" i="7"/>
  <c r="M292" i="7"/>
  <c r="L640" i="7"/>
  <c r="M140" i="9"/>
  <c r="O272" i="9"/>
  <c r="L23" i="10"/>
  <c r="L45" i="10"/>
  <c r="P9" i="13"/>
  <c r="K615" i="4"/>
  <c r="K624" i="5"/>
  <c r="K376" i="6"/>
  <c r="K397" i="6"/>
  <c r="K417" i="6"/>
  <c r="K649" i="6"/>
  <c r="P141" i="7"/>
  <c r="M140" i="7"/>
  <c r="O272" i="7"/>
  <c r="N312" i="7"/>
  <c r="N26" i="7"/>
  <c r="N16" i="7" s="1"/>
  <c r="P333" i="7"/>
  <c r="N331" i="7"/>
  <c r="K419" i="7"/>
  <c r="L34" i="7"/>
  <c r="O439" i="7"/>
  <c r="K498" i="7"/>
  <c r="O67" i="8"/>
  <c r="O119" i="8"/>
  <c r="O354" i="8"/>
  <c r="N34" i="8"/>
  <c r="N14" i="8" s="1"/>
  <c r="P314" i="10"/>
  <c r="M312" i="10"/>
  <c r="P95" i="12"/>
  <c r="K618" i="4"/>
  <c r="M11" i="6"/>
  <c r="M53" i="6"/>
  <c r="O352" i="6"/>
  <c r="P251" i="7"/>
  <c r="M250" i="7"/>
  <c r="P250" i="7" s="1"/>
  <c r="P25" i="8"/>
  <c r="M15" i="8"/>
  <c r="P15" i="8" s="1"/>
  <c r="P119" i="9"/>
  <c r="O95" i="11"/>
  <c r="L98" i="11"/>
  <c r="L23" i="11"/>
  <c r="K425" i="6"/>
  <c r="O42" i="7"/>
  <c r="P314" i="8"/>
  <c r="M312" i="8"/>
  <c r="O535" i="8"/>
  <c r="L32" i="8"/>
  <c r="O19" i="10"/>
  <c r="M140" i="6"/>
  <c r="M250" i="6"/>
  <c r="K615" i="6"/>
  <c r="K623" i="6"/>
  <c r="M15" i="7"/>
  <c r="P15" i="7" s="1"/>
  <c r="M55" i="7"/>
  <c r="M329" i="7"/>
  <c r="K617" i="7"/>
  <c r="M13" i="8"/>
  <c r="P13" i="8" s="1"/>
  <c r="M22" i="8"/>
  <c r="P32" i="8"/>
  <c r="M55" i="8"/>
  <c r="K200" i="8"/>
  <c r="K624" i="8"/>
  <c r="K621" i="8"/>
  <c r="K626" i="8"/>
  <c r="K623" i="8"/>
  <c r="K620" i="8"/>
  <c r="N19" i="9"/>
  <c r="O119" i="9"/>
  <c r="L122" i="9"/>
  <c r="P224" i="9"/>
  <c r="M222" i="9"/>
  <c r="P272" i="9"/>
  <c r="K424" i="9"/>
  <c r="O668" i="9"/>
  <c r="P29" i="10"/>
  <c r="P67" i="10"/>
  <c r="M66" i="10"/>
  <c r="P66" i="10" s="1"/>
  <c r="M329" i="10"/>
  <c r="N34" i="10"/>
  <c r="N14" i="10" s="1"/>
  <c r="M222" i="15"/>
  <c r="M22" i="15"/>
  <c r="P224" i="15"/>
  <c r="K613" i="6"/>
  <c r="K621" i="6"/>
  <c r="L640" i="6"/>
  <c r="P25" i="9"/>
  <c r="M15" i="9"/>
  <c r="P15" i="9" s="1"/>
  <c r="M29" i="9"/>
  <c r="P31" i="9"/>
  <c r="L23" i="9"/>
  <c r="L45" i="9"/>
  <c r="N96" i="9"/>
  <c r="N94" i="9" s="1"/>
  <c r="N22" i="9"/>
  <c r="O141" i="9"/>
  <c r="N32" i="9"/>
  <c r="N30" i="9" s="1"/>
  <c r="O25" i="10"/>
  <c r="L15" i="10"/>
  <c r="O15" i="10" s="1"/>
  <c r="L24" i="10"/>
  <c r="L57" i="14"/>
  <c r="L24" i="14"/>
  <c r="P333" i="8"/>
  <c r="O651" i="8"/>
  <c r="O19" i="9"/>
  <c r="K432" i="9"/>
  <c r="O537" i="9"/>
  <c r="O383" i="10"/>
  <c r="L32" i="10"/>
  <c r="N22" i="11"/>
  <c r="N120" i="11"/>
  <c r="N118" i="11" s="1"/>
  <c r="O347" i="11"/>
  <c r="I367" i="6"/>
  <c r="K367" i="6" s="1"/>
  <c r="K611" i="6"/>
  <c r="K619" i="6"/>
  <c r="K613" i="7"/>
  <c r="P144" i="8"/>
  <c r="K422" i="8"/>
  <c r="M26" i="9"/>
  <c r="P337" i="9"/>
  <c r="L34" i="9"/>
  <c r="O354" i="9"/>
  <c r="K416" i="9"/>
  <c r="L32" i="9"/>
  <c r="O566" i="9"/>
  <c r="O119" i="10"/>
  <c r="N120" i="10"/>
  <c r="N118" i="10" s="1"/>
  <c r="M222" i="6"/>
  <c r="K614" i="6"/>
  <c r="K622" i="6"/>
  <c r="P45" i="7"/>
  <c r="P294" i="8"/>
  <c r="M292" i="8"/>
  <c r="L26" i="9"/>
  <c r="O298" i="9"/>
  <c r="N331" i="9"/>
  <c r="N329" i="9" s="1"/>
  <c r="O337" i="9"/>
  <c r="P23" i="10"/>
  <c r="M13" i="10"/>
  <c r="P13" i="10" s="1"/>
  <c r="M30" i="10"/>
  <c r="P30" i="10" s="1"/>
  <c r="P32" i="10"/>
  <c r="M13" i="7"/>
  <c r="P13" i="7" s="1"/>
  <c r="M94" i="7"/>
  <c r="P94" i="7" s="1"/>
  <c r="I367" i="7"/>
  <c r="K367" i="7" s="1"/>
  <c r="K611" i="7"/>
  <c r="M11" i="8"/>
  <c r="K164" i="8"/>
  <c r="K189" i="9"/>
  <c r="O251" i="9"/>
  <c r="L640" i="9"/>
  <c r="O648" i="9"/>
  <c r="O554" i="10"/>
  <c r="L33" i="10"/>
  <c r="O33" i="10" s="1"/>
  <c r="L26" i="11"/>
  <c r="O49" i="11"/>
  <c r="M331" i="11"/>
  <c r="P337" i="11"/>
  <c r="M26" i="11"/>
  <c r="M271" i="8"/>
  <c r="K612" i="8"/>
  <c r="M19" i="9"/>
  <c r="L24" i="9"/>
  <c r="K622" i="9"/>
  <c r="K612" i="10"/>
  <c r="K617" i="10"/>
  <c r="K614" i="10"/>
  <c r="K619" i="10"/>
  <c r="K611" i="10"/>
  <c r="K616" i="10"/>
  <c r="K618" i="10"/>
  <c r="P292" i="12"/>
  <c r="M290" i="12"/>
  <c r="P290" i="12" s="1"/>
  <c r="K615" i="8"/>
  <c r="K617" i="9"/>
  <c r="K625" i="9"/>
  <c r="M22" i="10"/>
  <c r="M49" i="10"/>
  <c r="O54" i="10"/>
  <c r="O95" i="10"/>
  <c r="P144" i="10"/>
  <c r="M142" i="10"/>
  <c r="P275" i="10"/>
  <c r="O649" i="10"/>
  <c r="O54" i="11"/>
  <c r="O330" i="11"/>
  <c r="N26" i="12"/>
  <c r="N16" i="12" s="1"/>
  <c r="P275" i="12"/>
  <c r="M273" i="12"/>
  <c r="L19" i="13"/>
  <c r="O21" i="13"/>
  <c r="M22" i="14"/>
  <c r="P45" i="14"/>
  <c r="O221" i="10"/>
  <c r="N273" i="10"/>
  <c r="N271" i="10" s="1"/>
  <c r="L19" i="11"/>
  <c r="O21" i="11"/>
  <c r="P24" i="11"/>
  <c r="M14" i="11"/>
  <c r="P14" i="11" s="1"/>
  <c r="M13" i="11"/>
  <c r="P13" i="11" s="1"/>
  <c r="P33" i="11"/>
  <c r="M22" i="11"/>
  <c r="P45" i="11"/>
  <c r="M43" i="11"/>
  <c r="M41" i="11" s="1"/>
  <c r="L24" i="11"/>
  <c r="P144" i="11"/>
  <c r="M142" i="11"/>
  <c r="P254" i="11"/>
  <c r="M252" i="11"/>
  <c r="P122" i="12"/>
  <c r="M120" i="12"/>
  <c r="K612" i="12"/>
  <c r="K617" i="12"/>
  <c r="K614" i="12"/>
  <c r="K619" i="12"/>
  <c r="K611" i="12"/>
  <c r="K618" i="12"/>
  <c r="K616" i="12"/>
  <c r="K613" i="12"/>
  <c r="K615" i="12"/>
  <c r="L640" i="14"/>
  <c r="O651" i="14"/>
  <c r="M252" i="8"/>
  <c r="P252" i="8" s="1"/>
  <c r="N273" i="8"/>
  <c r="P273" i="8" s="1"/>
  <c r="K613" i="8"/>
  <c r="L640" i="8"/>
  <c r="K623" i="9"/>
  <c r="M15" i="10"/>
  <c r="P15" i="10" s="1"/>
  <c r="P45" i="10"/>
  <c r="O49" i="10"/>
  <c r="P221" i="10"/>
  <c r="M220" i="10"/>
  <c r="O330" i="10"/>
  <c r="K615" i="10"/>
  <c r="P221" i="11"/>
  <c r="M220" i="11"/>
  <c r="P54" i="12"/>
  <c r="K369" i="12"/>
  <c r="I367" i="12"/>
  <c r="K367" i="12" s="1"/>
  <c r="O54" i="13"/>
  <c r="O534" i="13"/>
  <c r="L31" i="13"/>
  <c r="L11" i="13" s="1"/>
  <c r="O228" i="8"/>
  <c r="K616" i="8"/>
  <c r="M14" i="9"/>
  <c r="P14" i="9" s="1"/>
  <c r="M66" i="9"/>
  <c r="P66" i="9" s="1"/>
  <c r="M120" i="9"/>
  <c r="P120" i="9" s="1"/>
  <c r="M273" i="9"/>
  <c r="P273" i="9" s="1"/>
  <c r="K618" i="9"/>
  <c r="K626" i="9"/>
  <c r="O42" i="10"/>
  <c r="P54" i="10"/>
  <c r="P98" i="10"/>
  <c r="K173" i="10"/>
  <c r="P254" i="10"/>
  <c r="M252" i="10"/>
  <c r="K369" i="10"/>
  <c r="I367" i="10"/>
  <c r="K367" i="10" s="1"/>
  <c r="N644" i="10"/>
  <c r="N640" i="10" s="1"/>
  <c r="N638" i="10" s="1"/>
  <c r="N636" i="10" s="1"/>
  <c r="O661" i="10"/>
  <c r="P67" i="11"/>
  <c r="N68" i="11"/>
  <c r="N66" i="11" s="1"/>
  <c r="L224" i="11"/>
  <c r="O352" i="11"/>
  <c r="O385" i="11"/>
  <c r="L34" i="11"/>
  <c r="O436" i="11"/>
  <c r="N644" i="11"/>
  <c r="N640" i="11" s="1"/>
  <c r="N638" i="11" s="1"/>
  <c r="N636" i="11" s="1"/>
  <c r="M22" i="13"/>
  <c r="P45" i="13"/>
  <c r="M43" i="13"/>
  <c r="M312" i="13"/>
  <c r="P314" i="13"/>
  <c r="I367" i="8"/>
  <c r="K367" i="8" s="1"/>
  <c r="K611" i="8"/>
  <c r="M11" i="9"/>
  <c r="M53" i="9"/>
  <c r="L98" i="10"/>
  <c r="L224" i="10"/>
  <c r="P42" i="11"/>
  <c r="K173" i="11"/>
  <c r="K630" i="11"/>
  <c r="O648" i="11"/>
  <c r="L640" i="11"/>
  <c r="P19" i="12"/>
  <c r="P70" i="12"/>
  <c r="M68" i="12"/>
  <c r="P98" i="12"/>
  <c r="M96" i="12"/>
  <c r="K138" i="12"/>
  <c r="O383" i="12"/>
  <c r="L32" i="12"/>
  <c r="K401" i="12"/>
  <c r="K426" i="12"/>
  <c r="K564" i="12"/>
  <c r="P23" i="13"/>
  <c r="M13" i="13"/>
  <c r="P13" i="13" s="1"/>
  <c r="P57" i="13"/>
  <c r="M55" i="13"/>
  <c r="K164" i="13"/>
  <c r="L33" i="13"/>
  <c r="O33" i="13" s="1"/>
  <c r="O353" i="13"/>
  <c r="N19" i="14"/>
  <c r="K474" i="14"/>
  <c r="K499" i="14"/>
  <c r="K533" i="14"/>
  <c r="K624" i="14"/>
  <c r="K621" i="14"/>
  <c r="K626" i="14"/>
  <c r="K620" i="14"/>
  <c r="K625" i="14"/>
  <c r="K635" i="14"/>
  <c r="M273" i="10"/>
  <c r="K624" i="10"/>
  <c r="N26" i="11"/>
  <c r="N16" i="11" s="1"/>
  <c r="M120" i="11"/>
  <c r="M273" i="11"/>
  <c r="K631" i="11"/>
  <c r="O25" i="12"/>
  <c r="L15" i="12"/>
  <c r="O15" i="12" s="1"/>
  <c r="L19" i="12"/>
  <c r="P29" i="12"/>
  <c r="O61" i="12"/>
  <c r="O221" i="12"/>
  <c r="P254" i="12"/>
  <c r="M252" i="12"/>
  <c r="O352" i="12"/>
  <c r="K397" i="12"/>
  <c r="O401" i="12"/>
  <c r="O437" i="12"/>
  <c r="K580" i="12"/>
  <c r="N644" i="12"/>
  <c r="N640" i="12" s="1"/>
  <c r="N638" i="12" s="1"/>
  <c r="N636" i="12" s="1"/>
  <c r="P15" i="13"/>
  <c r="N22" i="13"/>
  <c r="N43" i="13"/>
  <c r="N41" i="13" s="1"/>
  <c r="P254" i="13"/>
  <c r="M252" i="13"/>
  <c r="O291" i="13"/>
  <c r="N32" i="13"/>
  <c r="N30" i="13" s="1"/>
  <c r="M11" i="11"/>
  <c r="P21" i="11"/>
  <c r="P30" i="11"/>
  <c r="M53" i="11"/>
  <c r="P292" i="11"/>
  <c r="P21" i="12"/>
  <c r="M30" i="12"/>
  <c r="P30" i="12" s="1"/>
  <c r="L24" i="12"/>
  <c r="P221" i="12"/>
  <c r="M220" i="12"/>
  <c r="N252" i="12"/>
  <c r="N250" i="12" s="1"/>
  <c r="P312" i="12"/>
  <c r="M310" i="12"/>
  <c r="P310" i="12" s="1"/>
  <c r="O330" i="12"/>
  <c r="M329" i="12"/>
  <c r="I367" i="13"/>
  <c r="K367" i="13" s="1"/>
  <c r="K371" i="13"/>
  <c r="P314" i="14"/>
  <c r="M312" i="14"/>
  <c r="O119" i="15"/>
  <c r="K622" i="10"/>
  <c r="P57" i="12"/>
  <c r="M55" i="12"/>
  <c r="M22" i="12"/>
  <c r="O102" i="12"/>
  <c r="P144" i="12"/>
  <c r="M142" i="12"/>
  <c r="L33" i="12"/>
  <c r="O33" i="12" s="1"/>
  <c r="O353" i="12"/>
  <c r="P144" i="13"/>
  <c r="M142" i="13"/>
  <c r="P221" i="13"/>
  <c r="M220" i="13"/>
  <c r="N33" i="13"/>
  <c r="N13" i="13" s="1"/>
  <c r="O351" i="15"/>
  <c r="L31" i="15"/>
  <c r="L11" i="15" s="1"/>
  <c r="O567" i="15"/>
  <c r="L33" i="15"/>
  <c r="O33" i="15" s="1"/>
  <c r="I367" i="11"/>
  <c r="K367" i="11" s="1"/>
  <c r="P23" i="12"/>
  <c r="M13" i="12"/>
  <c r="P13" i="12" s="1"/>
  <c r="P102" i="12"/>
  <c r="M26" i="12"/>
  <c r="L31" i="12"/>
  <c r="K418" i="12"/>
  <c r="K497" i="12"/>
  <c r="O601" i="12"/>
  <c r="K628" i="12"/>
  <c r="L640" i="12"/>
  <c r="L26" i="13"/>
  <c r="P70" i="13"/>
  <c r="M68" i="13"/>
  <c r="O330" i="13"/>
  <c r="O385" i="13"/>
  <c r="L34" i="13"/>
  <c r="L33" i="14"/>
  <c r="O33" i="14" s="1"/>
  <c r="L275" i="14"/>
  <c r="L23" i="14"/>
  <c r="P29" i="15"/>
  <c r="M28" i="15"/>
  <c r="P28" i="15" s="1"/>
  <c r="O272" i="15"/>
  <c r="O597" i="11"/>
  <c r="M11" i="12"/>
  <c r="N22" i="12"/>
  <c r="N43" i="12"/>
  <c r="P43" i="12" s="1"/>
  <c r="P45" i="12"/>
  <c r="K173" i="12"/>
  <c r="K249" i="12"/>
  <c r="N34" i="12"/>
  <c r="K425" i="12"/>
  <c r="K635" i="12"/>
  <c r="O650" i="12"/>
  <c r="N19" i="13"/>
  <c r="P32" i="13"/>
  <c r="M30" i="13"/>
  <c r="P30" i="13" s="1"/>
  <c r="P330" i="13"/>
  <c r="N31" i="13"/>
  <c r="N29" i="13" s="1"/>
  <c r="N34" i="13"/>
  <c r="N14" i="13" s="1"/>
  <c r="O19" i="14"/>
  <c r="K622" i="14"/>
  <c r="M250" i="15"/>
  <c r="K613" i="11"/>
  <c r="K621" i="11"/>
  <c r="K626" i="12"/>
  <c r="M118" i="13"/>
  <c r="P118" i="13" s="1"/>
  <c r="K473" i="13"/>
  <c r="O568" i="13"/>
  <c r="K612" i="13"/>
  <c r="O649" i="13"/>
  <c r="O54" i="14"/>
  <c r="M140" i="14"/>
  <c r="P224" i="14"/>
  <c r="K420" i="14"/>
  <c r="K427" i="14"/>
  <c r="P42" i="15"/>
  <c r="M41" i="15"/>
  <c r="L57" i="15"/>
  <c r="L24" i="15"/>
  <c r="N32" i="15"/>
  <c r="N30" i="15" s="1"/>
  <c r="O383" i="15"/>
  <c r="K449" i="15"/>
  <c r="L34" i="15"/>
  <c r="O537" i="15"/>
  <c r="K614" i="11"/>
  <c r="K622" i="11"/>
  <c r="K464" i="13"/>
  <c r="K481" i="13"/>
  <c r="O661" i="13"/>
  <c r="P9" i="14"/>
  <c r="K381" i="14"/>
  <c r="O385" i="14"/>
  <c r="L34" i="14"/>
  <c r="O439" i="14"/>
  <c r="K482" i="14"/>
  <c r="O533" i="14"/>
  <c r="O601" i="14"/>
  <c r="O49" i="15"/>
  <c r="L26" i="15"/>
  <c r="P67" i="15"/>
  <c r="M66" i="15"/>
  <c r="P66" i="15" s="1"/>
  <c r="K622" i="12"/>
  <c r="K617" i="13"/>
  <c r="K614" i="13"/>
  <c r="K619" i="13"/>
  <c r="K611" i="13"/>
  <c r="K616" i="13"/>
  <c r="K618" i="13"/>
  <c r="K615" i="13"/>
  <c r="K200" i="14"/>
  <c r="O459" i="14"/>
  <c r="O95" i="15"/>
  <c r="N96" i="15"/>
  <c r="N94" i="15" s="1"/>
  <c r="N22" i="15"/>
  <c r="O352" i="15"/>
  <c r="L32" i="15"/>
  <c r="L640" i="15"/>
  <c r="O648" i="15"/>
  <c r="K625" i="12"/>
  <c r="M96" i="13"/>
  <c r="N644" i="13"/>
  <c r="N640" i="13" s="1"/>
  <c r="N638" i="13" s="1"/>
  <c r="N636" i="13" s="1"/>
  <c r="P67" i="14"/>
  <c r="N120" i="14"/>
  <c r="N118" i="14" s="1"/>
  <c r="P15" i="15"/>
  <c r="M9" i="15"/>
  <c r="O21" i="15"/>
  <c r="L19" i="15"/>
  <c r="P24" i="15"/>
  <c r="M14" i="15"/>
  <c r="P14" i="15" s="1"/>
  <c r="P33" i="15"/>
  <c r="M13" i="15"/>
  <c r="P13" i="15" s="1"/>
  <c r="P337" i="15"/>
  <c r="M310" i="16"/>
  <c r="P310" i="16" s="1"/>
  <c r="P312" i="16"/>
  <c r="L15" i="13"/>
  <c r="O15" i="13" s="1"/>
  <c r="M28" i="13"/>
  <c r="P28" i="13" s="1"/>
  <c r="M290" i="13"/>
  <c r="P290" i="13" s="1"/>
  <c r="O437" i="13"/>
  <c r="O599" i="13"/>
  <c r="L640" i="13"/>
  <c r="K649" i="13"/>
  <c r="J651" i="13"/>
  <c r="N43" i="14"/>
  <c r="N41" i="14" s="1"/>
  <c r="N26" i="14"/>
  <c r="N16" i="14" s="1"/>
  <c r="O95" i="14"/>
  <c r="M250" i="14"/>
  <c r="P250" i="14" s="1"/>
  <c r="P252" i="14"/>
  <c r="K419" i="14"/>
  <c r="L31" i="14"/>
  <c r="O565" i="14"/>
  <c r="O54" i="15"/>
  <c r="L98" i="15"/>
  <c r="L23" i="15"/>
  <c r="K422" i="15"/>
  <c r="K623" i="13"/>
  <c r="M55" i="14"/>
  <c r="M329" i="14"/>
  <c r="K617" i="14"/>
  <c r="P32" i="15"/>
  <c r="P23" i="16"/>
  <c r="M13" i="16"/>
  <c r="P13" i="16" s="1"/>
  <c r="P275" i="16"/>
  <c r="M273" i="16"/>
  <c r="K425" i="16"/>
  <c r="K626" i="13"/>
  <c r="L26" i="14"/>
  <c r="M30" i="14"/>
  <c r="M49" i="14"/>
  <c r="K612" i="14"/>
  <c r="M19" i="15"/>
  <c r="J671" i="15"/>
  <c r="N22" i="16"/>
  <c r="N43" i="16"/>
  <c r="P43" i="16" s="1"/>
  <c r="P45" i="16"/>
  <c r="P70" i="16"/>
  <c r="M68" i="16"/>
  <c r="N252" i="16"/>
  <c r="N250" i="16" s="1"/>
  <c r="N31" i="16"/>
  <c r="K547" i="16"/>
  <c r="O382" i="16"/>
  <c r="L31" i="16"/>
  <c r="L640" i="16"/>
  <c r="O650" i="16"/>
  <c r="O457" i="17"/>
  <c r="N32" i="17"/>
  <c r="N30" i="17" s="1"/>
  <c r="O537" i="17"/>
  <c r="L34" i="17"/>
  <c r="K624" i="13"/>
  <c r="O21" i="14"/>
  <c r="N331" i="14"/>
  <c r="N329" i="14" s="1"/>
  <c r="K618" i="14"/>
  <c r="P31" i="15"/>
  <c r="M271" i="15"/>
  <c r="K628" i="15"/>
  <c r="K613" i="14"/>
  <c r="O19" i="16"/>
  <c r="P102" i="16"/>
  <c r="M96" i="16"/>
  <c r="L23" i="16"/>
  <c r="L224" i="16"/>
  <c r="P29" i="17"/>
  <c r="M28" i="17"/>
  <c r="P28" i="17" s="1"/>
  <c r="P70" i="17"/>
  <c r="N68" i="17"/>
  <c r="N66" i="17" s="1"/>
  <c r="K622" i="13"/>
  <c r="K616" i="14"/>
  <c r="P9" i="16"/>
  <c r="P19" i="16"/>
  <c r="P57" i="16"/>
  <c r="M55" i="16"/>
  <c r="M22" i="16"/>
  <c r="P122" i="16"/>
  <c r="M120" i="16"/>
  <c r="O221" i="16"/>
  <c r="L32" i="16"/>
  <c r="O553" i="16"/>
  <c r="I367" i="14"/>
  <c r="K367" i="14" s="1"/>
  <c r="K611" i="14"/>
  <c r="M53" i="15"/>
  <c r="M94" i="15"/>
  <c r="P94" i="15" s="1"/>
  <c r="M30" i="16"/>
  <c r="P30" i="16" s="1"/>
  <c r="P32" i="16"/>
  <c r="K397" i="16"/>
  <c r="K417" i="16"/>
  <c r="O439" i="16"/>
  <c r="L34" i="16"/>
  <c r="K611" i="15"/>
  <c r="K619" i="15"/>
  <c r="P21" i="16"/>
  <c r="M29" i="16"/>
  <c r="M140" i="16"/>
  <c r="K615" i="16"/>
  <c r="M9" i="17"/>
  <c r="P11" i="17"/>
  <c r="P221" i="17"/>
  <c r="L24" i="17"/>
  <c r="L224" i="17"/>
  <c r="P254" i="17"/>
  <c r="M252" i="17"/>
  <c r="P275" i="17"/>
  <c r="N273" i="17"/>
  <c r="N271" i="17" s="1"/>
  <c r="L26" i="18"/>
  <c r="O228" i="18"/>
  <c r="K614" i="15"/>
  <c r="K622" i="15"/>
  <c r="O25" i="17"/>
  <c r="L15" i="17"/>
  <c r="O15" i="17" s="1"/>
  <c r="M14" i="18"/>
  <c r="P14" i="18" s="1"/>
  <c r="P34" i="18"/>
  <c r="O353" i="18"/>
  <c r="L33" i="18"/>
  <c r="O33" i="18" s="1"/>
  <c r="L32" i="18"/>
  <c r="O437" i="18"/>
  <c r="K617" i="15"/>
  <c r="K625" i="15"/>
  <c r="K613" i="16"/>
  <c r="P25" i="17"/>
  <c r="M15" i="17"/>
  <c r="P15" i="17" s="1"/>
  <c r="M19" i="17"/>
  <c r="L32" i="17"/>
  <c r="O383" i="17"/>
  <c r="K612" i="15"/>
  <c r="K620" i="15"/>
  <c r="L24" i="16"/>
  <c r="M220" i="16"/>
  <c r="M337" i="16"/>
  <c r="M331" i="16" s="1"/>
  <c r="K616" i="16"/>
  <c r="N55" i="17"/>
  <c r="N53" i="17" s="1"/>
  <c r="P53" i="17" s="1"/>
  <c r="N22" i="17"/>
  <c r="P57" i="17"/>
  <c r="P144" i="17"/>
  <c r="M142" i="17"/>
  <c r="M22" i="17"/>
  <c r="P122" i="17"/>
  <c r="N120" i="17"/>
  <c r="N118" i="17" s="1"/>
  <c r="K618" i="15"/>
  <c r="K626" i="15"/>
  <c r="L26" i="16"/>
  <c r="M290" i="16"/>
  <c r="P290" i="16" s="1"/>
  <c r="K614" i="16"/>
  <c r="O330" i="17"/>
  <c r="K369" i="17"/>
  <c r="I367" i="17"/>
  <c r="K367" i="17" s="1"/>
  <c r="N222" i="16"/>
  <c r="N220" i="16" s="1"/>
  <c r="K635" i="16"/>
  <c r="L19" i="17"/>
  <c r="K622" i="17"/>
  <c r="K665" i="17"/>
  <c r="N142" i="18"/>
  <c r="N140" i="18" s="1"/>
  <c r="N22" i="18"/>
  <c r="K455" i="18"/>
  <c r="P25" i="18"/>
  <c r="M15" i="18"/>
  <c r="P15" i="18" s="1"/>
  <c r="P330" i="18"/>
  <c r="L34" i="18"/>
  <c r="O568" i="18"/>
  <c r="K626" i="18"/>
  <c r="K625" i="18"/>
  <c r="K624" i="18"/>
  <c r="K621" i="18"/>
  <c r="K623" i="18"/>
  <c r="K620" i="18"/>
  <c r="K620" i="17"/>
  <c r="N96" i="18"/>
  <c r="N94" i="18" s="1"/>
  <c r="M290" i="18"/>
  <c r="L26" i="17"/>
  <c r="M222" i="17"/>
  <c r="M290" i="17"/>
  <c r="P290" i="17" s="1"/>
  <c r="K615" i="17"/>
  <c r="K623" i="17"/>
  <c r="M9" i="18"/>
  <c r="K164" i="18"/>
  <c r="O406" i="18"/>
  <c r="P25" i="19"/>
  <c r="M19" i="19"/>
  <c r="M15" i="19"/>
  <c r="P15" i="19" s="1"/>
  <c r="L23" i="17"/>
  <c r="M331" i="17"/>
  <c r="K626" i="17"/>
  <c r="L640" i="17"/>
  <c r="O291" i="18"/>
  <c r="M14" i="17"/>
  <c r="P14" i="17" s="1"/>
  <c r="M41" i="17"/>
  <c r="M118" i="17"/>
  <c r="M271" i="17"/>
  <c r="K650" i="17"/>
  <c r="L23" i="18"/>
  <c r="L294" i="18"/>
  <c r="M13" i="18"/>
  <c r="P13" i="18" s="1"/>
  <c r="L19" i="18"/>
  <c r="M55" i="18"/>
  <c r="M142" i="18"/>
  <c r="M252" i="18"/>
  <c r="P252" i="18" s="1"/>
  <c r="N273" i="18"/>
  <c r="N271" i="18" s="1"/>
  <c r="K611" i="18"/>
  <c r="P144" i="19"/>
  <c r="K201" i="19"/>
  <c r="P11" i="18"/>
  <c r="M19" i="18"/>
  <c r="M28" i="18"/>
  <c r="P28" i="18" s="1"/>
  <c r="K614" i="18"/>
  <c r="M250" i="19"/>
  <c r="O291" i="19"/>
  <c r="N34" i="19"/>
  <c r="N14" i="19" s="1"/>
  <c r="O406" i="19"/>
  <c r="K613" i="19"/>
  <c r="P254" i="19"/>
  <c r="N252" i="19"/>
  <c r="N250" i="19" s="1"/>
  <c r="L34" i="19"/>
  <c r="O537" i="19"/>
  <c r="O61" i="20"/>
  <c r="L26" i="20"/>
  <c r="M222" i="18"/>
  <c r="K612" i="18"/>
  <c r="O648" i="18"/>
  <c r="O21" i="19"/>
  <c r="L19" i="19"/>
  <c r="M74" i="18"/>
  <c r="M331" i="18"/>
  <c r="K111" i="19"/>
  <c r="K164" i="19"/>
  <c r="O353" i="19"/>
  <c r="L33" i="19"/>
  <c r="O33" i="19" s="1"/>
  <c r="L224" i="20"/>
  <c r="L23" i="20"/>
  <c r="M41" i="18"/>
  <c r="M271" i="18"/>
  <c r="K635" i="18"/>
  <c r="K158" i="19"/>
  <c r="K423" i="19"/>
  <c r="L32" i="19"/>
  <c r="O437" i="19"/>
  <c r="L43" i="18"/>
  <c r="K618" i="18"/>
  <c r="K617" i="18"/>
  <c r="K613" i="18"/>
  <c r="K619" i="18"/>
  <c r="M9" i="19"/>
  <c r="P330" i="19"/>
  <c r="K350" i="19"/>
  <c r="K435" i="19"/>
  <c r="O221" i="20"/>
  <c r="M13" i="19"/>
  <c r="P13" i="19" s="1"/>
  <c r="P32" i="19"/>
  <c r="N43" i="19"/>
  <c r="N41" i="19" s="1"/>
  <c r="M55" i="19"/>
  <c r="M142" i="19"/>
  <c r="P221" i="20"/>
  <c r="M220" i="20"/>
  <c r="N34" i="20"/>
  <c r="N14" i="20" s="1"/>
  <c r="P11" i="19"/>
  <c r="L15" i="19"/>
  <c r="O15" i="19" s="1"/>
  <c r="M28" i="19"/>
  <c r="P28" i="19" s="1"/>
  <c r="O584" i="19"/>
  <c r="N644" i="19"/>
  <c r="N640" i="19" s="1"/>
  <c r="N638" i="19" s="1"/>
  <c r="N636" i="19" s="1"/>
  <c r="M19" i="20"/>
  <c r="P21" i="20"/>
  <c r="M11" i="20"/>
  <c r="N43" i="20"/>
  <c r="N41" i="20" s="1"/>
  <c r="N26" i="20"/>
  <c r="N16" i="20" s="1"/>
  <c r="P144" i="20"/>
  <c r="M142" i="20"/>
  <c r="P254" i="20"/>
  <c r="M252" i="20"/>
  <c r="O601" i="20"/>
  <c r="L23" i="22"/>
  <c r="L294" i="22"/>
  <c r="K612" i="19"/>
  <c r="K617" i="19"/>
  <c r="K614" i="19"/>
  <c r="K619" i="19"/>
  <c r="K611" i="19"/>
  <c r="K616" i="19"/>
  <c r="K615" i="19"/>
  <c r="N19" i="20"/>
  <c r="P95" i="20"/>
  <c r="L34" i="21"/>
  <c r="O555" i="21"/>
  <c r="K614" i="21"/>
  <c r="K618" i="21"/>
  <c r="K615" i="21"/>
  <c r="K612" i="21"/>
  <c r="K617" i="21"/>
  <c r="K619" i="21"/>
  <c r="K611" i="21"/>
  <c r="K613" i="21"/>
  <c r="K616" i="21"/>
  <c r="L26" i="19"/>
  <c r="M222" i="19"/>
  <c r="M290" i="19"/>
  <c r="P290" i="19" s="1"/>
  <c r="K618" i="19"/>
  <c r="L24" i="20"/>
  <c r="L98" i="20"/>
  <c r="O330" i="20"/>
  <c r="L23" i="19"/>
  <c r="M310" i="19"/>
  <c r="P310" i="19" s="1"/>
  <c r="O564" i="19"/>
  <c r="O661" i="19"/>
  <c r="M22" i="20"/>
  <c r="P45" i="20"/>
  <c r="M43" i="20"/>
  <c r="P54" i="20"/>
  <c r="M53" i="20"/>
  <c r="K173" i="20"/>
  <c r="M14" i="19"/>
  <c r="P14" i="19" s="1"/>
  <c r="M41" i="19"/>
  <c r="M271" i="19"/>
  <c r="P122" i="20"/>
  <c r="M120" i="20"/>
  <c r="O347" i="20"/>
  <c r="I367" i="20"/>
  <c r="K367" i="20" s="1"/>
  <c r="K371" i="20"/>
  <c r="O533" i="20"/>
  <c r="L33" i="20"/>
  <c r="O33" i="20" s="1"/>
  <c r="O536" i="20"/>
  <c r="L31" i="20"/>
  <c r="O565" i="20"/>
  <c r="P30" i="21"/>
  <c r="M28" i="21"/>
  <c r="P28" i="21" s="1"/>
  <c r="P29" i="20"/>
  <c r="M28" i="20"/>
  <c r="P28" i="20" s="1"/>
  <c r="O385" i="20"/>
  <c r="L34" i="20"/>
  <c r="K428" i="20"/>
  <c r="K623" i="19"/>
  <c r="M15" i="20"/>
  <c r="P15" i="20" s="1"/>
  <c r="P68" i="20"/>
  <c r="P224" i="20"/>
  <c r="K617" i="20"/>
  <c r="O19" i="21"/>
  <c r="M220" i="21"/>
  <c r="K249" i="21"/>
  <c r="O535" i="21"/>
  <c r="L32" i="21"/>
  <c r="P141" i="21"/>
  <c r="M140" i="21"/>
  <c r="K229" i="21"/>
  <c r="K285" i="21"/>
  <c r="O354" i="21"/>
  <c r="K381" i="21"/>
  <c r="O384" i="21"/>
  <c r="L33" i="21"/>
  <c r="K624" i="19"/>
  <c r="M273" i="20"/>
  <c r="K618" i="20"/>
  <c r="K626" i="20"/>
  <c r="K665" i="20"/>
  <c r="N26" i="21"/>
  <c r="N16" i="21" s="1"/>
  <c r="P251" i="21"/>
  <c r="M250" i="21"/>
  <c r="K613" i="20"/>
  <c r="O74" i="21"/>
  <c r="M74" i="21"/>
  <c r="M310" i="21"/>
  <c r="P310" i="21" s="1"/>
  <c r="P312" i="21"/>
  <c r="M9" i="22"/>
  <c r="P11" i="22"/>
  <c r="O291" i="22"/>
  <c r="K622" i="19"/>
  <c r="K616" i="20"/>
  <c r="K624" i="20"/>
  <c r="P54" i="21"/>
  <c r="P333" i="21"/>
  <c r="K625" i="19"/>
  <c r="N331" i="21"/>
  <c r="N329" i="21" s="1"/>
  <c r="N22" i="21"/>
  <c r="O568" i="22"/>
  <c r="L34" i="22"/>
  <c r="M290" i="20"/>
  <c r="P290" i="20" s="1"/>
  <c r="K132" i="21"/>
  <c r="M22" i="21"/>
  <c r="P294" i="21"/>
  <c r="M292" i="21"/>
  <c r="P144" i="21"/>
  <c r="N252" i="21"/>
  <c r="O601" i="21"/>
  <c r="K369" i="22"/>
  <c r="I367" i="22"/>
  <c r="K367" i="22" s="1"/>
  <c r="O648" i="21"/>
  <c r="L640" i="21"/>
  <c r="O668" i="21"/>
  <c r="O25" i="22"/>
  <c r="L15" i="22"/>
  <c r="O15" i="22" s="1"/>
  <c r="P144" i="22"/>
  <c r="N142" i="22"/>
  <c r="N140" i="22" s="1"/>
  <c r="L32" i="22"/>
  <c r="O383" i="22"/>
  <c r="N222" i="21"/>
  <c r="N220" i="21" s="1"/>
  <c r="M331" i="21"/>
  <c r="M30" i="22"/>
  <c r="P30" i="22" s="1"/>
  <c r="P32" i="22"/>
  <c r="P57" i="22"/>
  <c r="M55" i="22"/>
  <c r="M22" i="22"/>
  <c r="P291" i="22"/>
  <c r="P312" i="22"/>
  <c r="M310" i="22"/>
  <c r="P310" i="22" s="1"/>
  <c r="O353" i="22"/>
  <c r="L33" i="22"/>
  <c r="O33" i="22" s="1"/>
  <c r="M14" i="21"/>
  <c r="P14" i="21" s="1"/>
  <c r="O21" i="21"/>
  <c r="M271" i="21"/>
  <c r="P23" i="22"/>
  <c r="M13" i="22"/>
  <c r="P13" i="22" s="1"/>
  <c r="O311" i="22"/>
  <c r="N644" i="22"/>
  <c r="N640" i="22" s="1"/>
  <c r="N638" i="22" s="1"/>
  <c r="N636" i="22" s="1"/>
  <c r="P98" i="22"/>
  <c r="M96" i="22"/>
  <c r="L333" i="22"/>
  <c r="O437" i="22"/>
  <c r="M43" i="21"/>
  <c r="P45" i="22"/>
  <c r="N22" i="22"/>
  <c r="N43" i="22"/>
  <c r="N41" i="22" s="1"/>
  <c r="P41" i="22" s="1"/>
  <c r="M68" i="22"/>
  <c r="P70" i="22"/>
  <c r="N96" i="22"/>
  <c r="N94" i="22" s="1"/>
  <c r="L31" i="22"/>
  <c r="O534" i="22"/>
  <c r="K616" i="22"/>
  <c r="K615" i="22"/>
  <c r="K612" i="22"/>
  <c r="K617" i="22"/>
  <c r="K614" i="22"/>
  <c r="K619" i="22"/>
  <c r="K611" i="22"/>
  <c r="M13" i="21"/>
  <c r="P13" i="21" s="1"/>
  <c r="M55" i="21"/>
  <c r="L19" i="22"/>
  <c r="P29" i="22"/>
  <c r="P330" i="22"/>
  <c r="M337" i="22"/>
  <c r="O337" i="22"/>
  <c r="K618" i="22"/>
  <c r="K625" i="21"/>
  <c r="M19" i="22"/>
  <c r="M222" i="22"/>
  <c r="K622" i="22"/>
  <c r="K625" i="22"/>
  <c r="K626" i="21"/>
  <c r="L26" i="22"/>
  <c r="M118" i="22"/>
  <c r="P118" i="22" s="1"/>
  <c r="M271" i="22"/>
  <c r="P271" i="22" s="1"/>
  <c r="M292" i="22"/>
  <c r="P292" i="22" s="1"/>
  <c r="K620" i="22"/>
  <c r="M140" i="22"/>
  <c r="M250" i="22"/>
  <c r="P250" i="22" s="1"/>
  <c r="K623" i="22"/>
  <c r="K309" i="1" l="1"/>
  <c r="L55" i="2"/>
  <c r="P142" i="9"/>
  <c r="K213" i="1"/>
  <c r="L273" i="15"/>
  <c r="O273" i="15" s="1"/>
  <c r="O142" i="9"/>
  <c r="O537" i="1"/>
  <c r="P140" i="7"/>
  <c r="O122" i="3"/>
  <c r="N220" i="13"/>
  <c r="N37" i="13" s="1"/>
  <c r="P292" i="10"/>
  <c r="L43" i="3"/>
  <c r="L41" i="3" s="1"/>
  <c r="O41" i="3" s="1"/>
  <c r="K432" i="1"/>
  <c r="K649" i="1"/>
  <c r="O45" i="16"/>
  <c r="L55" i="5"/>
  <c r="O55" i="5" s="1"/>
  <c r="O74" i="1"/>
  <c r="K498" i="1"/>
  <c r="P222" i="10"/>
  <c r="P273" i="15"/>
  <c r="L142" i="14"/>
  <c r="L140" i="14" s="1"/>
  <c r="O140" i="14" s="1"/>
  <c r="O70" i="4"/>
  <c r="O333" i="4"/>
  <c r="K633" i="1"/>
  <c r="L120" i="10"/>
  <c r="O120" i="10" s="1"/>
  <c r="O275" i="10"/>
  <c r="M94" i="8"/>
  <c r="P94" i="8" s="1"/>
  <c r="L43" i="2"/>
  <c r="L41" i="2" s="1"/>
  <c r="P271" i="15"/>
  <c r="O314" i="8"/>
  <c r="L292" i="2"/>
  <c r="O292" i="2" s="1"/>
  <c r="L142" i="6"/>
  <c r="O142" i="6" s="1"/>
  <c r="L11" i="9"/>
  <c r="L9" i="9" s="1"/>
  <c r="L312" i="4"/>
  <c r="O312" i="4" s="1"/>
  <c r="K85" i="1"/>
  <c r="L43" i="20"/>
  <c r="L41" i="20" s="1"/>
  <c r="P331" i="12"/>
  <c r="P120" i="7"/>
  <c r="O31" i="9"/>
  <c r="L331" i="17"/>
  <c r="O331" i="17" s="1"/>
  <c r="P329" i="12"/>
  <c r="N250" i="2"/>
  <c r="P250" i="2" s="1"/>
  <c r="L68" i="9"/>
  <c r="O68" i="9" s="1"/>
  <c r="K84" i="1"/>
  <c r="O406" i="1"/>
  <c r="L120" i="8"/>
  <c r="O120" i="8" s="1"/>
  <c r="K65" i="1"/>
  <c r="L222" i="6"/>
  <c r="O222" i="6" s="1"/>
  <c r="O45" i="19"/>
  <c r="N11" i="8"/>
  <c r="N9" i="8" s="1"/>
  <c r="P43" i="8"/>
  <c r="K285" i="1"/>
  <c r="K149" i="1"/>
  <c r="K133" i="1"/>
  <c r="P333" i="1"/>
  <c r="K132" i="1"/>
  <c r="L292" i="21"/>
  <c r="O292" i="21" s="1"/>
  <c r="L331" i="8"/>
  <c r="L329" i="8" s="1"/>
  <c r="O329" i="8" s="1"/>
  <c r="K82" i="1"/>
  <c r="P140" i="16"/>
  <c r="O57" i="13"/>
  <c r="L252" i="9"/>
  <c r="O252" i="9" s="1"/>
  <c r="M66" i="11"/>
  <c r="P66" i="11" s="1"/>
  <c r="L68" i="13"/>
  <c r="L66" i="13" s="1"/>
  <c r="O66" i="13" s="1"/>
  <c r="M118" i="14"/>
  <c r="P118" i="14" s="1"/>
  <c r="P68" i="7"/>
  <c r="O580" i="1"/>
  <c r="P55" i="12"/>
  <c r="P55" i="21"/>
  <c r="N11" i="20"/>
  <c r="N9" i="20" s="1"/>
  <c r="P142" i="16"/>
  <c r="O333" i="14"/>
  <c r="L252" i="3"/>
  <c r="O252" i="3" s="1"/>
  <c r="N28" i="20"/>
  <c r="M94" i="17"/>
  <c r="P94" i="17" s="1"/>
  <c r="M94" i="11"/>
  <c r="P94" i="11" s="1"/>
  <c r="M250" i="9"/>
  <c r="P250" i="9" s="1"/>
  <c r="M290" i="6"/>
  <c r="P290" i="6" s="1"/>
  <c r="L252" i="4"/>
  <c r="O252" i="4" s="1"/>
  <c r="K88" i="1"/>
  <c r="K614" i="1"/>
  <c r="K624" i="1"/>
  <c r="O640" i="22"/>
  <c r="O275" i="18"/>
  <c r="N55" i="1"/>
  <c r="N53" i="1" s="1"/>
  <c r="O70" i="17"/>
  <c r="O273" i="13"/>
  <c r="L271" i="13"/>
  <c r="O271" i="13" s="1"/>
  <c r="N11" i="9"/>
  <c r="N9" i="9" s="1"/>
  <c r="K424" i="1"/>
  <c r="K204" i="1"/>
  <c r="K422" i="1"/>
  <c r="K345" i="1"/>
  <c r="P142" i="14"/>
  <c r="M310" i="7"/>
  <c r="P310" i="7" s="1"/>
  <c r="K216" i="1"/>
  <c r="K381" i="1"/>
  <c r="K593" i="1"/>
  <c r="O220" i="4"/>
  <c r="K110" i="1"/>
  <c r="K499" i="1"/>
  <c r="O333" i="18"/>
  <c r="L96" i="21"/>
  <c r="L94" i="21" s="1"/>
  <c r="O94" i="21" s="1"/>
  <c r="M43" i="4"/>
  <c r="M41" i="4" s="1"/>
  <c r="L120" i="18"/>
  <c r="O120" i="18" s="1"/>
  <c r="K580" i="1"/>
  <c r="K547" i="1"/>
  <c r="L29" i="19"/>
  <c r="O29" i="19" s="1"/>
  <c r="L273" i="20"/>
  <c r="O273" i="20" s="1"/>
  <c r="L11" i="19"/>
  <c r="O11" i="19" s="1"/>
  <c r="L273" i="16"/>
  <c r="L271" i="16" s="1"/>
  <c r="O271" i="16" s="1"/>
  <c r="P314" i="1"/>
  <c r="O275" i="13"/>
  <c r="K465" i="1"/>
  <c r="K551" i="1"/>
  <c r="K186" i="1"/>
  <c r="K425" i="1"/>
  <c r="O294" i="20"/>
  <c r="K417" i="1"/>
  <c r="P122" i="1"/>
  <c r="P222" i="17"/>
  <c r="O275" i="5"/>
  <c r="P53" i="10"/>
  <c r="O329" i="14"/>
  <c r="L312" i="14"/>
  <c r="O312" i="14" s="1"/>
  <c r="O34" i="9"/>
  <c r="P292" i="5"/>
  <c r="O224" i="4"/>
  <c r="O222" i="9"/>
  <c r="O435" i="1"/>
  <c r="K92" i="1"/>
  <c r="K112" i="1"/>
  <c r="O298" i="1"/>
  <c r="K93" i="1"/>
  <c r="L292" i="5"/>
  <c r="L290" i="5" s="1"/>
  <c r="O290" i="5" s="1"/>
  <c r="K418" i="1"/>
  <c r="O294" i="19"/>
  <c r="M271" i="14"/>
  <c r="P271" i="14" s="1"/>
  <c r="L68" i="6"/>
  <c r="O68" i="6" s="1"/>
  <c r="M310" i="11"/>
  <c r="P310" i="11" s="1"/>
  <c r="P70" i="1"/>
  <c r="P55" i="10"/>
  <c r="L142" i="18"/>
  <c r="O142" i="18" s="1"/>
  <c r="N28" i="19"/>
  <c r="K164" i="1"/>
  <c r="M94" i="20"/>
  <c r="P94" i="20" s="1"/>
  <c r="L290" i="3"/>
  <c r="O290" i="3" s="1"/>
  <c r="K635" i="1"/>
  <c r="K370" i="1"/>
  <c r="P252" i="15"/>
  <c r="K108" i="1"/>
  <c r="O650" i="1"/>
  <c r="K589" i="1"/>
  <c r="P275" i="1"/>
  <c r="K189" i="1"/>
  <c r="O32" i="20"/>
  <c r="L292" i="14"/>
  <c r="O292" i="14" s="1"/>
  <c r="N11" i="2"/>
  <c r="N9" i="2" s="1"/>
  <c r="K466" i="1"/>
  <c r="O665" i="1"/>
  <c r="O404" i="1"/>
  <c r="K265" i="1"/>
  <c r="K266" i="1"/>
  <c r="O648" i="1"/>
  <c r="O98" i="22"/>
  <c r="M118" i="18"/>
  <c r="P118" i="18" s="1"/>
  <c r="L252" i="14"/>
  <c r="O252" i="14" s="1"/>
  <c r="L55" i="3"/>
  <c r="L53" i="3" s="1"/>
  <c r="O53" i="3" s="1"/>
  <c r="P142" i="2"/>
  <c r="K455" i="1"/>
  <c r="O224" i="7"/>
  <c r="P22" i="6"/>
  <c r="M94" i="3"/>
  <c r="P94" i="3" s="1"/>
  <c r="N118" i="4"/>
  <c r="N37" i="4" s="1"/>
  <c r="K402" i="1"/>
  <c r="O457" i="1"/>
  <c r="O275" i="19"/>
  <c r="M290" i="14"/>
  <c r="P290" i="14" s="1"/>
  <c r="O30" i="13"/>
  <c r="L252" i="8"/>
  <c r="O252" i="8" s="1"/>
  <c r="K380" i="1"/>
  <c r="P222" i="14"/>
  <c r="L331" i="9"/>
  <c r="O331" i="9" s="1"/>
  <c r="M140" i="4"/>
  <c r="P140" i="4" s="1"/>
  <c r="L292" i="10"/>
  <c r="O292" i="10" s="1"/>
  <c r="L120" i="21"/>
  <c r="L118" i="21" s="1"/>
  <c r="O118" i="21" s="1"/>
  <c r="M118" i="15"/>
  <c r="P118" i="15" s="1"/>
  <c r="L43" i="8"/>
  <c r="O43" i="8" s="1"/>
  <c r="N12" i="10"/>
  <c r="N10" i="10" s="1"/>
  <c r="K621" i="1"/>
  <c r="P43" i="6"/>
  <c r="N28" i="9"/>
  <c r="K328" i="1"/>
  <c r="N28" i="10"/>
  <c r="L222" i="8"/>
  <c r="O222" i="8" s="1"/>
  <c r="P57" i="1"/>
  <c r="K430" i="1"/>
  <c r="O34" i="17"/>
  <c r="L292" i="7"/>
  <c r="O292" i="7" s="1"/>
  <c r="O34" i="15"/>
  <c r="O275" i="7"/>
  <c r="O275" i="6"/>
  <c r="M94" i="14"/>
  <c r="P94" i="14" s="1"/>
  <c r="K138" i="1"/>
  <c r="P250" i="6"/>
  <c r="O34" i="21"/>
  <c r="O437" i="1"/>
  <c r="K80" i="1"/>
  <c r="O566" i="1"/>
  <c r="K474" i="1"/>
  <c r="O292" i="20"/>
  <c r="L290" i="20"/>
  <c r="O290" i="20" s="1"/>
  <c r="L55" i="20"/>
  <c r="L53" i="20" s="1"/>
  <c r="O53" i="20" s="1"/>
  <c r="L331" i="19"/>
  <c r="O331" i="19" s="1"/>
  <c r="L68" i="20"/>
  <c r="O68" i="20" s="1"/>
  <c r="L222" i="15"/>
  <c r="O222" i="15" s="1"/>
  <c r="P140" i="9"/>
  <c r="P98" i="1"/>
  <c r="K628" i="1"/>
  <c r="K173" i="1"/>
  <c r="O144" i="19"/>
  <c r="K185" i="1"/>
  <c r="O352" i="1"/>
  <c r="L331" i="16"/>
  <c r="L329" i="16" s="1"/>
  <c r="O329" i="16" s="1"/>
  <c r="P96" i="12"/>
  <c r="O314" i="2"/>
  <c r="O383" i="1"/>
  <c r="O30" i="20"/>
  <c r="M66" i="19"/>
  <c r="P66" i="19" s="1"/>
  <c r="P220" i="20"/>
  <c r="L120" i="20"/>
  <c r="O120" i="20" s="1"/>
  <c r="O31" i="18"/>
  <c r="O34" i="16"/>
  <c r="P55" i="16"/>
  <c r="O45" i="11"/>
  <c r="P222" i="8"/>
  <c r="P222" i="7"/>
  <c r="K349" i="1"/>
  <c r="P292" i="3"/>
  <c r="L273" i="12"/>
  <c r="O273" i="12" s="1"/>
  <c r="K215" i="1"/>
  <c r="K560" i="1"/>
  <c r="O649" i="1"/>
  <c r="P273" i="4"/>
  <c r="O671" i="1"/>
  <c r="O144" i="9"/>
  <c r="M310" i="9"/>
  <c r="P310" i="9" s="1"/>
  <c r="K87" i="1"/>
  <c r="K377" i="1"/>
  <c r="K650" i="1"/>
  <c r="L14" i="5"/>
  <c r="O14" i="5" s="1"/>
  <c r="K533" i="1"/>
  <c r="K397" i="1"/>
  <c r="K426" i="1"/>
  <c r="O439" i="1"/>
  <c r="K306" i="1"/>
  <c r="K117" i="1"/>
  <c r="N34" i="1"/>
  <c r="N14" i="1" s="1"/>
  <c r="K630" i="1"/>
  <c r="O459" i="1"/>
  <c r="O401" i="1"/>
  <c r="O333" i="21"/>
  <c r="L252" i="17"/>
  <c r="O252" i="17" s="1"/>
  <c r="P142" i="8"/>
  <c r="L142" i="3"/>
  <c r="O142" i="3" s="1"/>
  <c r="K398" i="1"/>
  <c r="P55" i="4"/>
  <c r="O597" i="1"/>
  <c r="N43" i="1"/>
  <c r="N41" i="1" s="1"/>
  <c r="O331" i="5"/>
  <c r="O49" i="1"/>
  <c r="P53" i="15"/>
  <c r="M310" i="6"/>
  <c r="P310" i="6" s="1"/>
  <c r="P68" i="8"/>
  <c r="L66" i="5"/>
  <c r="O66" i="5" s="1"/>
  <c r="L96" i="14"/>
  <c r="L312" i="10"/>
  <c r="L310" i="10" s="1"/>
  <c r="O310" i="10" s="1"/>
  <c r="K634" i="1"/>
  <c r="P22" i="19"/>
  <c r="K648" i="1"/>
  <c r="O533" i="1"/>
  <c r="K631" i="1"/>
  <c r="K158" i="1"/>
  <c r="K343" i="1"/>
  <c r="K564" i="1"/>
  <c r="P142" i="10"/>
  <c r="P55" i="8"/>
  <c r="O535" i="1"/>
  <c r="O564" i="1"/>
  <c r="P254" i="1"/>
  <c r="L142" i="16"/>
  <c r="O142" i="16" s="1"/>
  <c r="L292" i="15"/>
  <c r="O292" i="15" s="1"/>
  <c r="P55" i="7"/>
  <c r="O385" i="1"/>
  <c r="K86" i="1"/>
  <c r="O380" i="1"/>
  <c r="N29" i="12"/>
  <c r="N28" i="12" s="1"/>
  <c r="K451" i="1"/>
  <c r="K482" i="1"/>
  <c r="K199" i="1"/>
  <c r="P331" i="5"/>
  <c r="K219" i="1"/>
  <c r="K396" i="1"/>
  <c r="L222" i="22"/>
  <c r="L220" i="22" s="1"/>
  <c r="O220" i="22" s="1"/>
  <c r="L55" i="11"/>
  <c r="O55" i="11" s="1"/>
  <c r="L96" i="5"/>
  <c r="L94" i="5" s="1"/>
  <c r="O94" i="5" s="1"/>
  <c r="M53" i="4"/>
  <c r="P53" i="4" s="1"/>
  <c r="K372" i="1"/>
  <c r="K375" i="1"/>
  <c r="K289" i="1"/>
  <c r="L55" i="22"/>
  <c r="O55" i="22" s="1"/>
  <c r="L222" i="13"/>
  <c r="L220" i="13" s="1"/>
  <c r="L120" i="12"/>
  <c r="O120" i="12" s="1"/>
  <c r="L142" i="8"/>
  <c r="L140" i="8" s="1"/>
  <c r="O140" i="8" s="1"/>
  <c r="M329" i="5"/>
  <c r="P329" i="5" s="1"/>
  <c r="P294" i="1"/>
  <c r="O102" i="1"/>
  <c r="O120" i="3"/>
  <c r="L120" i="22"/>
  <c r="O57" i="18"/>
  <c r="O333" i="15"/>
  <c r="K368" i="1"/>
  <c r="K435" i="1"/>
  <c r="K620" i="1"/>
  <c r="K270" i="1"/>
  <c r="K201" i="1"/>
  <c r="K419" i="1"/>
  <c r="O314" i="21"/>
  <c r="O254" i="19"/>
  <c r="L96" i="18"/>
  <c r="O96" i="18" s="1"/>
  <c r="L222" i="19"/>
  <c r="L220" i="19" s="1"/>
  <c r="O220" i="19" s="1"/>
  <c r="O122" i="16"/>
  <c r="L252" i="7"/>
  <c r="O252" i="7" s="1"/>
  <c r="O224" i="2"/>
  <c r="N28" i="5"/>
  <c r="L96" i="7"/>
  <c r="L94" i="7" s="1"/>
  <c r="O94" i="7" s="1"/>
  <c r="P252" i="4"/>
  <c r="K304" i="1"/>
  <c r="K591" i="1"/>
  <c r="K200" i="1"/>
  <c r="M94" i="18"/>
  <c r="P94" i="18" s="1"/>
  <c r="P142" i="15"/>
  <c r="P16" i="13"/>
  <c r="L142" i="11"/>
  <c r="L140" i="11" s="1"/>
  <c r="O140" i="11" s="1"/>
  <c r="O98" i="13"/>
  <c r="L68" i="11"/>
  <c r="O68" i="11" s="1"/>
  <c r="P331" i="10"/>
  <c r="L142" i="4"/>
  <c r="O142" i="4" s="1"/>
  <c r="K229" i="1"/>
  <c r="P331" i="15"/>
  <c r="P26" i="13"/>
  <c r="K427" i="1"/>
  <c r="O34" i="22"/>
  <c r="L252" i="20"/>
  <c r="O252" i="20" s="1"/>
  <c r="M66" i="14"/>
  <c r="P66" i="14" s="1"/>
  <c r="M290" i="9"/>
  <c r="P290" i="9" s="1"/>
  <c r="O55" i="13"/>
  <c r="P329" i="10"/>
  <c r="O55" i="10"/>
  <c r="J671" i="1"/>
  <c r="K671" i="1" s="1"/>
  <c r="O640" i="3"/>
  <c r="O661" i="1"/>
  <c r="K428" i="1"/>
  <c r="O314" i="20"/>
  <c r="L142" i="5"/>
  <c r="O142" i="5" s="1"/>
  <c r="O34" i="6"/>
  <c r="O331" i="20"/>
  <c r="O222" i="7"/>
  <c r="K423" i="1"/>
  <c r="L142" i="21"/>
  <c r="L140" i="21" s="1"/>
  <c r="O140" i="21" s="1"/>
  <c r="P271" i="19"/>
  <c r="P273" i="19"/>
  <c r="O271" i="10"/>
  <c r="N11" i="10"/>
  <c r="N9" i="10" s="1"/>
  <c r="O314" i="12"/>
  <c r="P142" i="7"/>
  <c r="K420" i="1"/>
  <c r="O599" i="1"/>
  <c r="O553" i="1"/>
  <c r="K376" i="1"/>
  <c r="K340" i="1"/>
  <c r="O455" i="1"/>
  <c r="K464" i="1"/>
  <c r="N644" i="1"/>
  <c r="N640" i="1" s="1"/>
  <c r="N638" i="1" s="1"/>
  <c r="N636" i="1" s="1"/>
  <c r="K416" i="1"/>
  <c r="M331" i="19"/>
  <c r="P331" i="19" s="1"/>
  <c r="P68" i="13"/>
  <c r="O57" i="10"/>
  <c r="N41" i="15"/>
  <c r="N37" i="15" s="1"/>
  <c r="K611" i="1"/>
  <c r="K235" i="1"/>
  <c r="K64" i="1"/>
  <c r="O354" i="1"/>
  <c r="P220" i="7"/>
  <c r="L310" i="20"/>
  <c r="O310" i="20" s="1"/>
  <c r="O30" i="14"/>
  <c r="N11" i="14"/>
  <c r="N9" i="14" s="1"/>
  <c r="P53" i="9"/>
  <c r="P49" i="4"/>
  <c r="K111" i="1"/>
  <c r="K597" i="1"/>
  <c r="L310" i="5"/>
  <c r="O310" i="5" s="1"/>
  <c r="O312" i="5"/>
  <c r="L55" i="21"/>
  <c r="O55" i="21" s="1"/>
  <c r="L96" i="4"/>
  <c r="O96" i="4" s="1"/>
  <c r="K668" i="1"/>
  <c r="P22" i="2"/>
  <c r="O668" i="1"/>
  <c r="K619" i="1"/>
  <c r="N29" i="22"/>
  <c r="N28" i="22" s="1"/>
  <c r="L43" i="21"/>
  <c r="L41" i="21" s="1"/>
  <c r="L252" i="21"/>
  <c r="L250" i="21" s="1"/>
  <c r="O34" i="12"/>
  <c r="L43" i="13"/>
  <c r="O43" i="13" s="1"/>
  <c r="O224" i="9"/>
  <c r="N29" i="3"/>
  <c r="N28" i="3" s="1"/>
  <c r="L273" i="4"/>
  <c r="O273" i="4" s="1"/>
  <c r="L252" i="2"/>
  <c r="L250" i="2" s="1"/>
  <c r="L14" i="4"/>
  <c r="O14" i="4" s="1"/>
  <c r="O551" i="1"/>
  <c r="O568" i="1"/>
  <c r="L68" i="19"/>
  <c r="O68" i="19" s="1"/>
  <c r="O584" i="1"/>
  <c r="O601" i="1"/>
  <c r="L29" i="18"/>
  <c r="O29" i="18" s="1"/>
  <c r="O144" i="17"/>
  <c r="O70" i="16"/>
  <c r="L252" i="10"/>
  <c r="O252" i="10" s="1"/>
  <c r="O26" i="10"/>
  <c r="O70" i="8"/>
  <c r="M94" i="6"/>
  <c r="P94" i="6" s="1"/>
  <c r="L66" i="8"/>
  <c r="O66" i="8" s="1"/>
  <c r="P55" i="6"/>
  <c r="L273" i="9"/>
  <c r="O273" i="9" s="1"/>
  <c r="L331" i="2"/>
  <c r="O331" i="2" s="1"/>
  <c r="K625" i="1"/>
  <c r="K613" i="1"/>
  <c r="P331" i="2"/>
  <c r="P312" i="2"/>
  <c r="K612" i="1"/>
  <c r="O43" i="18"/>
  <c r="O57" i="19"/>
  <c r="O45" i="22"/>
  <c r="O122" i="19"/>
  <c r="O122" i="17"/>
  <c r="L43" i="14"/>
  <c r="O43" i="14" s="1"/>
  <c r="P220" i="12"/>
  <c r="O16" i="12"/>
  <c r="P53" i="6"/>
  <c r="L331" i="6"/>
  <c r="L329" i="6" s="1"/>
  <c r="O329" i="6" s="1"/>
  <c r="K615" i="1"/>
  <c r="K618" i="1"/>
  <c r="O314" i="5"/>
  <c r="K626" i="1"/>
  <c r="K617" i="1"/>
  <c r="K497" i="1"/>
  <c r="O16" i="10"/>
  <c r="P290" i="5"/>
  <c r="L22" i="19"/>
  <c r="L20" i="19" s="1"/>
  <c r="P331" i="17"/>
  <c r="L43" i="15"/>
  <c r="L41" i="15" s="1"/>
  <c r="N11" i="11"/>
  <c r="N9" i="11" s="1"/>
  <c r="N11" i="5"/>
  <c r="N9" i="5" s="1"/>
  <c r="P96" i="4"/>
  <c r="K622" i="1"/>
  <c r="N28" i="21"/>
  <c r="K616" i="1"/>
  <c r="K623" i="1"/>
  <c r="K473" i="1"/>
  <c r="K663" i="1"/>
  <c r="J651" i="1"/>
  <c r="K651" i="1" s="1"/>
  <c r="K629" i="1"/>
  <c r="K481" i="1"/>
  <c r="O250" i="6"/>
  <c r="N28" i="8"/>
  <c r="K81" i="1"/>
  <c r="O651" i="1"/>
  <c r="K267" i="1"/>
  <c r="K449" i="1"/>
  <c r="K429" i="1"/>
  <c r="L66" i="4"/>
  <c r="O66" i="4" s="1"/>
  <c r="O292" i="6"/>
  <c r="L290" i="6"/>
  <c r="O290" i="6" s="1"/>
  <c r="O273" i="6"/>
  <c r="L271" i="6"/>
  <c r="O271" i="6" s="1"/>
  <c r="O271" i="19"/>
  <c r="L312" i="18"/>
  <c r="L310" i="18" s="1"/>
  <c r="O310" i="18" s="1"/>
  <c r="L96" i="17"/>
  <c r="O96" i="17" s="1"/>
  <c r="O314" i="17"/>
  <c r="L252" i="16"/>
  <c r="L250" i="16" s="1"/>
  <c r="O250" i="16" s="1"/>
  <c r="L68" i="10"/>
  <c r="O68" i="10" s="1"/>
  <c r="L292" i="8"/>
  <c r="P140" i="8"/>
  <c r="O294" i="3"/>
  <c r="L331" i="3"/>
  <c r="O331" i="3" s="1"/>
  <c r="N31" i="1"/>
  <c r="N29" i="1" s="1"/>
  <c r="L638" i="5"/>
  <c r="L636" i="5" s="1"/>
  <c r="O636" i="5" s="1"/>
  <c r="N32" i="1"/>
  <c r="N30" i="1" s="1"/>
  <c r="P43" i="9"/>
  <c r="K665" i="1"/>
  <c r="L312" i="3"/>
  <c r="K450" i="1"/>
  <c r="P222" i="3"/>
  <c r="L252" i="12"/>
  <c r="L222" i="14"/>
  <c r="O222" i="14" s="1"/>
  <c r="L329" i="5"/>
  <c r="O329" i="5" s="1"/>
  <c r="O337" i="1"/>
  <c r="L252" i="22"/>
  <c r="O314" i="11"/>
  <c r="O333" i="5"/>
  <c r="L23" i="1"/>
  <c r="O23" i="1" s="1"/>
  <c r="N26" i="1"/>
  <c r="N16" i="1" s="1"/>
  <c r="L142" i="20"/>
  <c r="L140" i="20" s="1"/>
  <c r="O140" i="20" s="1"/>
  <c r="P331" i="18"/>
  <c r="L14" i="18"/>
  <c r="O14" i="18" s="1"/>
  <c r="N28" i="11"/>
  <c r="L120" i="13"/>
  <c r="O120" i="13" s="1"/>
  <c r="K421" i="1"/>
  <c r="P220" i="3"/>
  <c r="O314" i="22"/>
  <c r="P140" i="21"/>
  <c r="M118" i="10"/>
  <c r="P118" i="10" s="1"/>
  <c r="P273" i="7"/>
  <c r="M310" i="2"/>
  <c r="P310" i="2" s="1"/>
  <c r="O275" i="3"/>
  <c r="O34" i="20"/>
  <c r="O271" i="18"/>
  <c r="M329" i="15"/>
  <c r="P329" i="15" s="1"/>
  <c r="L292" i="13"/>
  <c r="O292" i="13" s="1"/>
  <c r="L252" i="13"/>
  <c r="O252" i="13" s="1"/>
  <c r="P329" i="8"/>
  <c r="N20" i="10"/>
  <c r="N18" i="10" s="1"/>
  <c r="L142" i="12"/>
  <c r="O142" i="12" s="1"/>
  <c r="P222" i="11"/>
  <c r="L312" i="7"/>
  <c r="L310" i="7" s="1"/>
  <c r="O310" i="7" s="1"/>
  <c r="O273" i="3"/>
  <c r="O294" i="6"/>
  <c r="L120" i="11"/>
  <c r="N12" i="19"/>
  <c r="N10" i="19" s="1"/>
  <c r="K401" i="1"/>
  <c r="P43" i="21"/>
  <c r="M310" i="17"/>
  <c r="P310" i="17" s="1"/>
  <c r="M94" i="9"/>
  <c r="P94" i="9" s="1"/>
  <c r="O254" i="6"/>
  <c r="M41" i="6"/>
  <c r="P41" i="6" s="1"/>
  <c r="P271" i="4"/>
  <c r="L29" i="8"/>
  <c r="O29" i="8" s="1"/>
  <c r="N20" i="19"/>
  <c r="N18" i="19" s="1"/>
  <c r="O331" i="18"/>
  <c r="K113" i="1"/>
  <c r="O349" i="1"/>
  <c r="N271" i="2"/>
  <c r="P271" i="2" s="1"/>
  <c r="P55" i="20"/>
  <c r="N53" i="11"/>
  <c r="N37" i="11" s="1"/>
  <c r="P43" i="3"/>
  <c r="O222" i="4"/>
  <c r="P55" i="9"/>
  <c r="O32" i="11"/>
  <c r="O30" i="5"/>
  <c r="O53" i="9"/>
  <c r="O292" i="17"/>
  <c r="L290" i="17"/>
  <c r="O290" i="17" s="1"/>
  <c r="L290" i="16"/>
  <c r="O290" i="16" s="1"/>
  <c r="O292" i="16"/>
  <c r="L310" i="11"/>
  <c r="O310" i="11" s="1"/>
  <c r="O312" i="11"/>
  <c r="O68" i="14"/>
  <c r="L66" i="14"/>
  <c r="O66" i="14" s="1"/>
  <c r="P331" i="6"/>
  <c r="M329" i="6"/>
  <c r="P329" i="6" s="1"/>
  <c r="O26" i="21"/>
  <c r="O640" i="20"/>
  <c r="M310" i="20"/>
  <c r="P310" i="20" s="1"/>
  <c r="L22" i="18"/>
  <c r="L12" i="18" s="1"/>
  <c r="L11" i="17"/>
  <c r="L9" i="17" s="1"/>
  <c r="N11" i="19"/>
  <c r="N9" i="19" s="1"/>
  <c r="L312" i="19"/>
  <c r="O312" i="19" s="1"/>
  <c r="O31" i="17"/>
  <c r="L22" i="17"/>
  <c r="L20" i="17" s="1"/>
  <c r="L18" i="17" s="1"/>
  <c r="L252" i="15"/>
  <c r="O252" i="15" s="1"/>
  <c r="M271" i="13"/>
  <c r="P271" i="13" s="1"/>
  <c r="L120" i="7"/>
  <c r="O98" i="6"/>
  <c r="L120" i="2"/>
  <c r="O120" i="2" s="1"/>
  <c r="M331" i="20"/>
  <c r="P120" i="19"/>
  <c r="O273" i="19"/>
  <c r="L254" i="1"/>
  <c r="O254" i="1" s="1"/>
  <c r="L640" i="1"/>
  <c r="L638" i="1" s="1"/>
  <c r="L636" i="1" s="1"/>
  <c r="K109" i="1"/>
  <c r="O55" i="18"/>
  <c r="P220" i="11"/>
  <c r="L142" i="10"/>
  <c r="O142" i="10" s="1"/>
  <c r="N11" i="7"/>
  <c r="N9" i="7" s="1"/>
  <c r="L94" i="6"/>
  <c r="O94" i="6" s="1"/>
  <c r="L43" i="4"/>
  <c r="O43" i="4" s="1"/>
  <c r="N22" i="1"/>
  <c r="P43" i="17"/>
  <c r="O70" i="14"/>
  <c r="L329" i="15"/>
  <c r="O329" i="15" s="1"/>
  <c r="L68" i="22"/>
  <c r="O68" i="22" s="1"/>
  <c r="L96" i="19"/>
  <c r="O96" i="19" s="1"/>
  <c r="P55" i="18"/>
  <c r="L222" i="18"/>
  <c r="O222" i="18" s="1"/>
  <c r="P292" i="18"/>
  <c r="O294" i="17"/>
  <c r="M290" i="15"/>
  <c r="P290" i="15" s="1"/>
  <c r="L120" i="15"/>
  <c r="O120" i="15" s="1"/>
  <c r="L142" i="13"/>
  <c r="P120" i="8"/>
  <c r="O34" i="7"/>
  <c r="P252" i="6"/>
  <c r="L22" i="13"/>
  <c r="L20" i="13" s="1"/>
  <c r="L18" i="13" s="1"/>
  <c r="O252" i="6"/>
  <c r="O32" i="5"/>
  <c r="K176" i="1"/>
  <c r="P45" i="1"/>
  <c r="P337" i="20"/>
  <c r="P312" i="18"/>
  <c r="L292" i="11"/>
  <c r="K341" i="1"/>
  <c r="K264" i="1"/>
  <c r="N33" i="1"/>
  <c r="N13" i="1" s="1"/>
  <c r="L96" i="8"/>
  <c r="O53" i="18"/>
  <c r="P310" i="18"/>
  <c r="O120" i="19"/>
  <c r="L312" i="16"/>
  <c r="O312" i="16" s="1"/>
  <c r="P140" i="15"/>
  <c r="L120" i="14"/>
  <c r="O120" i="14" s="1"/>
  <c r="L271" i="15"/>
  <c r="O271" i="15" s="1"/>
  <c r="L273" i="8"/>
  <c r="O273" i="8" s="1"/>
  <c r="P118" i="5"/>
  <c r="L55" i="6"/>
  <c r="O55" i="6" s="1"/>
  <c r="L22" i="12"/>
  <c r="O22" i="12" s="1"/>
  <c r="O294" i="16"/>
  <c r="O57" i="9"/>
  <c r="O34" i="4"/>
  <c r="K324" i="1"/>
  <c r="O16" i="21"/>
  <c r="P329" i="4"/>
  <c r="M250" i="18"/>
  <c r="P250" i="18" s="1"/>
  <c r="L22" i="20"/>
  <c r="O22" i="20" s="1"/>
  <c r="L252" i="18"/>
  <c r="O34" i="14"/>
  <c r="P140" i="14"/>
  <c r="M53" i="7"/>
  <c r="P53" i="7" s="1"/>
  <c r="P140" i="6"/>
  <c r="P142" i="6"/>
  <c r="N11" i="4"/>
  <c r="N9" i="4" s="1"/>
  <c r="L31" i="1"/>
  <c r="L11" i="1" s="1"/>
  <c r="L9" i="1" s="1"/>
  <c r="P331" i="4"/>
  <c r="O331" i="10"/>
  <c r="L329" i="10"/>
  <c r="O329" i="10" s="1"/>
  <c r="P329" i="3"/>
  <c r="O57" i="12"/>
  <c r="O32" i="13"/>
  <c r="O32" i="14"/>
  <c r="L30" i="11"/>
  <c r="O30" i="11" s="1"/>
  <c r="L11" i="6"/>
  <c r="O11" i="6" s="1"/>
  <c r="N271" i="21"/>
  <c r="P271" i="21" s="1"/>
  <c r="O31" i="6"/>
  <c r="L43" i="12"/>
  <c r="L41" i="12" s="1"/>
  <c r="O45" i="12"/>
  <c r="L22" i="21"/>
  <c r="L12" i="21" s="1"/>
  <c r="O224" i="21"/>
  <c r="O250" i="19"/>
  <c r="P271" i="18"/>
  <c r="O34" i="19"/>
  <c r="P118" i="17"/>
  <c r="L96" i="16"/>
  <c r="O96" i="16" s="1"/>
  <c r="L142" i="15"/>
  <c r="N28" i="13"/>
  <c r="L252" i="11"/>
  <c r="O252" i="11" s="1"/>
  <c r="L96" i="12"/>
  <c r="L94" i="12" s="1"/>
  <c r="O94" i="12" s="1"/>
  <c r="M250" i="4"/>
  <c r="P250" i="4" s="1"/>
  <c r="L22" i="3"/>
  <c r="L20" i="3" s="1"/>
  <c r="P16" i="4"/>
  <c r="O55" i="19"/>
  <c r="O57" i="17"/>
  <c r="L55" i="17"/>
  <c r="L53" i="17" s="1"/>
  <c r="O53" i="17" s="1"/>
  <c r="O34" i="2"/>
  <c r="P118" i="21"/>
  <c r="L273" i="21"/>
  <c r="L271" i="21" s="1"/>
  <c r="M118" i="19"/>
  <c r="P118" i="19" s="1"/>
  <c r="L118" i="19"/>
  <c r="O118" i="19" s="1"/>
  <c r="N37" i="20"/>
  <c r="P66" i="17"/>
  <c r="P290" i="18"/>
  <c r="P329" i="13"/>
  <c r="L273" i="11"/>
  <c r="L271" i="11" s="1"/>
  <c r="O271" i="11" s="1"/>
  <c r="L140" i="9"/>
  <c r="O140" i="9" s="1"/>
  <c r="P271" i="5"/>
  <c r="P26" i="4"/>
  <c r="L314" i="1"/>
  <c r="O314" i="1" s="1"/>
  <c r="M94" i="21"/>
  <c r="P94" i="21" s="1"/>
  <c r="P16" i="20"/>
  <c r="L638" i="18"/>
  <c r="L636" i="18" s="1"/>
  <c r="O636" i="18" s="1"/>
  <c r="L310" i="17"/>
  <c r="O310" i="17" s="1"/>
  <c r="P220" i="16"/>
  <c r="P43" i="11"/>
  <c r="L312" i="9"/>
  <c r="O312" i="9" s="1"/>
  <c r="M94" i="4"/>
  <c r="P94" i="4" s="1"/>
  <c r="O24" i="4"/>
  <c r="N28" i="4"/>
  <c r="N41" i="18"/>
  <c r="N37" i="18" s="1"/>
  <c r="O142" i="17"/>
  <c r="P120" i="17"/>
  <c r="N28" i="7"/>
  <c r="L45" i="1"/>
  <c r="L43" i="1" s="1"/>
  <c r="P331" i="3"/>
  <c r="O32" i="4"/>
  <c r="L68" i="21"/>
  <c r="O66" i="17"/>
  <c r="O333" i="10"/>
  <c r="O34" i="10"/>
  <c r="N37" i="9"/>
  <c r="L252" i="5"/>
  <c r="O252" i="5" s="1"/>
  <c r="K595" i="1"/>
  <c r="O30" i="4"/>
  <c r="L24" i="1"/>
  <c r="O24" i="1" s="1"/>
  <c r="P120" i="21"/>
  <c r="P55" i="15"/>
  <c r="N37" i="17"/>
  <c r="L32" i="1"/>
  <c r="L30" i="1" s="1"/>
  <c r="M53" i="18"/>
  <c r="P53" i="18" s="1"/>
  <c r="L14" i="19"/>
  <c r="O14" i="19" s="1"/>
  <c r="M250" i="16"/>
  <c r="P250" i="16" s="1"/>
  <c r="O640" i="10"/>
  <c r="M53" i="8"/>
  <c r="P53" i="8" s="1"/>
  <c r="O34" i="8"/>
  <c r="M66" i="5"/>
  <c r="P66" i="5" s="1"/>
  <c r="O254" i="5"/>
  <c r="L292" i="4"/>
  <c r="L290" i="4" s="1"/>
  <c r="O290" i="4" s="1"/>
  <c r="K369" i="1"/>
  <c r="I367" i="1"/>
  <c r="K367" i="1" s="1"/>
  <c r="N37" i="10"/>
  <c r="L273" i="22"/>
  <c r="O275" i="22"/>
  <c r="O220" i="21"/>
  <c r="M53" i="21"/>
  <c r="P53" i="21" s="1"/>
  <c r="N11" i="21"/>
  <c r="N9" i="21" s="1"/>
  <c r="P26" i="20"/>
  <c r="P252" i="19"/>
  <c r="P273" i="18"/>
  <c r="L55" i="16"/>
  <c r="O55" i="16" s="1"/>
  <c r="L220" i="9"/>
  <c r="O220" i="9" s="1"/>
  <c r="O273" i="10"/>
  <c r="L22" i="4"/>
  <c r="L12" i="4" s="1"/>
  <c r="N118" i="2"/>
  <c r="P118" i="2" s="1"/>
  <c r="L22" i="2"/>
  <c r="O22" i="2" s="1"/>
  <c r="L29" i="21"/>
  <c r="O29" i="21" s="1"/>
  <c r="O31" i="21"/>
  <c r="M16" i="17"/>
  <c r="P16" i="17" s="1"/>
  <c r="P26" i="17"/>
  <c r="L222" i="12"/>
  <c r="O224" i="12"/>
  <c r="L29" i="11"/>
  <c r="O29" i="11" s="1"/>
  <c r="O31" i="11"/>
  <c r="L292" i="12"/>
  <c r="O294" i="12"/>
  <c r="P222" i="12"/>
  <c r="P142" i="22"/>
  <c r="P53" i="20"/>
  <c r="P250" i="19"/>
  <c r="L329" i="18"/>
  <c r="O329" i="18" s="1"/>
  <c r="L312" i="15"/>
  <c r="O312" i="15" s="1"/>
  <c r="O34" i="13"/>
  <c r="L94" i="13"/>
  <c r="O94" i="13" s="1"/>
  <c r="L142" i="7"/>
  <c r="L140" i="7" s="1"/>
  <c r="O140" i="7" s="1"/>
  <c r="N140" i="1"/>
  <c r="N20" i="2"/>
  <c r="N18" i="2" s="1"/>
  <c r="N28" i="2"/>
  <c r="N12" i="14"/>
  <c r="N10" i="14" s="1"/>
  <c r="O312" i="12"/>
  <c r="L310" i="12"/>
  <c r="O310" i="12" s="1"/>
  <c r="L68" i="7"/>
  <c r="O70" i="7"/>
  <c r="O118" i="17"/>
  <c r="O120" i="17"/>
  <c r="O314" i="15"/>
  <c r="L53" i="10"/>
  <c r="O53" i="10" s="1"/>
  <c r="O220" i="7"/>
  <c r="L222" i="5"/>
  <c r="O222" i="5" s="1"/>
  <c r="N12" i="2"/>
  <c r="N10" i="2" s="1"/>
  <c r="L142" i="22"/>
  <c r="O144" i="22"/>
  <c r="P222" i="20"/>
  <c r="L68" i="15"/>
  <c r="O70" i="15"/>
  <c r="N28" i="14"/>
  <c r="P331" i="13"/>
  <c r="P337" i="6"/>
  <c r="M26" i="6"/>
  <c r="O555" i="1"/>
  <c r="L34" i="1"/>
  <c r="O31" i="10"/>
  <c r="L29" i="10"/>
  <c r="O29" i="10" s="1"/>
  <c r="L11" i="10"/>
  <c r="O70" i="2"/>
  <c r="L70" i="1"/>
  <c r="O70" i="1" s="1"/>
  <c r="L273" i="17"/>
  <c r="L271" i="17" s="1"/>
  <c r="O271" i="17" s="1"/>
  <c r="N14" i="6"/>
  <c r="M22" i="1"/>
  <c r="M12" i="1" s="1"/>
  <c r="O331" i="21"/>
  <c r="L43" i="17"/>
  <c r="O45" i="17"/>
  <c r="O70" i="12"/>
  <c r="L68" i="12"/>
  <c r="P331" i="8"/>
  <c r="K431" i="1"/>
  <c r="O34" i="3"/>
  <c r="O333" i="20"/>
  <c r="O142" i="19"/>
  <c r="P55" i="17"/>
  <c r="M66" i="13"/>
  <c r="P66" i="13" s="1"/>
  <c r="O34" i="11"/>
  <c r="M49" i="1"/>
  <c r="M43" i="1" s="1"/>
  <c r="L271" i="7"/>
  <c r="O271" i="7" s="1"/>
  <c r="N29" i="18"/>
  <c r="N28" i="18" s="1"/>
  <c r="N11" i="18"/>
  <c r="N9" i="18" s="1"/>
  <c r="M16" i="15"/>
  <c r="P16" i="15" s="1"/>
  <c r="P26" i="15"/>
  <c r="L312" i="13"/>
  <c r="O314" i="13"/>
  <c r="O98" i="9"/>
  <c r="L96" i="9"/>
  <c r="N16" i="8"/>
  <c r="P16" i="8" s="1"/>
  <c r="P26" i="8"/>
  <c r="O55" i="9"/>
  <c r="M140" i="10"/>
  <c r="P140" i="10" s="1"/>
  <c r="L14" i="21"/>
  <c r="O14" i="21" s="1"/>
  <c r="N37" i="19"/>
  <c r="O43" i="19"/>
  <c r="O68" i="17"/>
  <c r="P43" i="13"/>
  <c r="O31" i="8"/>
  <c r="O273" i="5"/>
  <c r="L68" i="18"/>
  <c r="O70" i="18"/>
  <c r="N11" i="15"/>
  <c r="N9" i="15" s="1"/>
  <c r="N29" i="15"/>
  <c r="N28" i="15" s="1"/>
  <c r="O333" i="12"/>
  <c r="L331" i="12"/>
  <c r="O314" i="6"/>
  <c r="L312" i="6"/>
  <c r="N66" i="6"/>
  <c r="N37" i="6" s="1"/>
  <c r="O70" i="3"/>
  <c r="L68" i="3"/>
  <c r="N292" i="1"/>
  <c r="K573" i="1"/>
  <c r="P102" i="19"/>
  <c r="M26" i="19"/>
  <c r="L22" i="22"/>
  <c r="O22" i="22" s="1"/>
  <c r="O34" i="18"/>
  <c r="P68" i="17"/>
  <c r="O26" i="12"/>
  <c r="O16" i="4"/>
  <c r="P142" i="21"/>
  <c r="N12" i="20"/>
  <c r="N10" i="20" s="1"/>
  <c r="N11" i="17"/>
  <c r="N9" i="17" s="1"/>
  <c r="N29" i="17"/>
  <c r="N28" i="17" s="1"/>
  <c r="L331" i="11"/>
  <c r="O333" i="11"/>
  <c r="N53" i="2"/>
  <c r="P53" i="2" s="1"/>
  <c r="K249" i="1"/>
  <c r="N290" i="2"/>
  <c r="N290" i="1" s="1"/>
  <c r="N37" i="5"/>
  <c r="O11" i="13"/>
  <c r="L9" i="13"/>
  <c r="L9" i="15"/>
  <c r="O11" i="15"/>
  <c r="M26" i="22"/>
  <c r="M20" i="22" s="1"/>
  <c r="P337" i="22"/>
  <c r="O96" i="22"/>
  <c r="L94" i="22"/>
  <c r="O94" i="22" s="1"/>
  <c r="L13" i="21"/>
  <c r="O13" i="21" s="1"/>
  <c r="O33" i="21"/>
  <c r="O31" i="16"/>
  <c r="L11" i="16"/>
  <c r="L29" i="16"/>
  <c r="P30" i="14"/>
  <c r="M28" i="14"/>
  <c r="P28" i="14" s="1"/>
  <c r="P273" i="11"/>
  <c r="M271" i="11"/>
  <c r="P271" i="11" s="1"/>
  <c r="O23" i="10"/>
  <c r="L13" i="10"/>
  <c r="O13" i="10" s="1"/>
  <c r="O55" i="2"/>
  <c r="L53" i="2"/>
  <c r="M9" i="3"/>
  <c r="O32" i="21"/>
  <c r="L30" i="21"/>
  <c r="P68" i="12"/>
  <c r="M66" i="12"/>
  <c r="P66" i="12" s="1"/>
  <c r="N271" i="8"/>
  <c r="N37" i="8" s="1"/>
  <c r="L120" i="6"/>
  <c r="O122" i="6"/>
  <c r="P329" i="2"/>
  <c r="O68" i="2"/>
  <c r="L66" i="2"/>
  <c r="M41" i="7"/>
  <c r="P43" i="7"/>
  <c r="O333" i="22"/>
  <c r="L331" i="22"/>
  <c r="P43" i="22"/>
  <c r="P55" i="22"/>
  <c r="M53" i="22"/>
  <c r="P22" i="21"/>
  <c r="M12" i="21"/>
  <c r="N20" i="20"/>
  <c r="N18" i="20" s="1"/>
  <c r="O98" i="20"/>
  <c r="L96" i="20"/>
  <c r="P142" i="20"/>
  <c r="M140" i="20"/>
  <c r="P140" i="20" s="1"/>
  <c r="P11" i="20"/>
  <c r="M9" i="20"/>
  <c r="L41" i="18"/>
  <c r="P19" i="18"/>
  <c r="N12" i="18"/>
  <c r="P22" i="18"/>
  <c r="N20" i="18"/>
  <c r="N18" i="18" s="1"/>
  <c r="P22" i="17"/>
  <c r="M12" i="17"/>
  <c r="M20" i="17"/>
  <c r="P337" i="16"/>
  <c r="M337" i="1"/>
  <c r="P337" i="1" s="1"/>
  <c r="O29" i="17"/>
  <c r="M53" i="16"/>
  <c r="N41" i="16"/>
  <c r="L118" i="16"/>
  <c r="O118" i="16" s="1"/>
  <c r="O120" i="16"/>
  <c r="O98" i="15"/>
  <c r="L96" i="15"/>
  <c r="N20" i="14"/>
  <c r="N18" i="14" s="1"/>
  <c r="P250" i="15"/>
  <c r="M20" i="12"/>
  <c r="P22" i="12"/>
  <c r="M12" i="12"/>
  <c r="O43" i="11"/>
  <c r="L41" i="11"/>
  <c r="M28" i="12"/>
  <c r="P28" i="12" s="1"/>
  <c r="O98" i="10"/>
  <c r="L96" i="10"/>
  <c r="N14" i="12"/>
  <c r="O24" i="9"/>
  <c r="L14" i="9"/>
  <c r="O14" i="9" s="1"/>
  <c r="P26" i="9"/>
  <c r="M16" i="9"/>
  <c r="P16" i="9" s="1"/>
  <c r="O24" i="10"/>
  <c r="L14" i="10"/>
  <c r="O14" i="10" s="1"/>
  <c r="P222" i="15"/>
  <c r="M220" i="15"/>
  <c r="P220" i="15" s="1"/>
  <c r="M28" i="10"/>
  <c r="P28" i="10" s="1"/>
  <c r="M271" i="9"/>
  <c r="P271" i="9" s="1"/>
  <c r="P312" i="10"/>
  <c r="M310" i="10"/>
  <c r="P310" i="10" s="1"/>
  <c r="L118" i="8"/>
  <c r="O118" i="8" s="1"/>
  <c r="L14" i="8"/>
  <c r="O14" i="8" s="1"/>
  <c r="P19" i="6"/>
  <c r="O24" i="6"/>
  <c r="L14" i="6"/>
  <c r="P142" i="5"/>
  <c r="M140" i="5"/>
  <c r="P140" i="5" s="1"/>
  <c r="O24" i="3"/>
  <c r="L14" i="3"/>
  <c r="O14" i="3" s="1"/>
  <c r="P222" i="2"/>
  <c r="M220" i="2"/>
  <c r="M222" i="1"/>
  <c r="N12" i="5"/>
  <c r="N10" i="5" s="1"/>
  <c r="N20" i="5"/>
  <c r="N18" i="5" s="1"/>
  <c r="O536" i="1"/>
  <c r="L33" i="1"/>
  <c r="O19" i="6"/>
  <c r="O31" i="3"/>
  <c r="L29" i="3"/>
  <c r="L11" i="3"/>
  <c r="O26" i="4"/>
  <c r="L57" i="1"/>
  <c r="O34" i="5"/>
  <c r="L144" i="1"/>
  <c r="O144" i="1" s="1"/>
  <c r="O144" i="2"/>
  <c r="L142" i="2"/>
  <c r="O120" i="5"/>
  <c r="L118" i="5"/>
  <c r="O118" i="5" s="1"/>
  <c r="L638" i="2"/>
  <c r="O640" i="2"/>
  <c r="P19" i="21"/>
  <c r="P292" i="4"/>
  <c r="M290" i="4"/>
  <c r="P290" i="4" s="1"/>
  <c r="N96" i="1"/>
  <c r="L30" i="16"/>
  <c r="O30" i="16" s="1"/>
  <c r="O32" i="16"/>
  <c r="L66" i="16"/>
  <c r="O66" i="16" s="1"/>
  <c r="O68" i="16"/>
  <c r="L638" i="15"/>
  <c r="O640" i="15"/>
  <c r="P29" i="9"/>
  <c r="M28" i="9"/>
  <c r="P28" i="9" s="1"/>
  <c r="N310" i="7"/>
  <c r="N310" i="1" s="1"/>
  <c r="N312" i="1"/>
  <c r="P19" i="7"/>
  <c r="O23" i="4"/>
  <c r="L13" i="4"/>
  <c r="O13" i="4" s="1"/>
  <c r="N94" i="1"/>
  <c r="L140" i="17"/>
  <c r="O140" i="17" s="1"/>
  <c r="O26" i="13"/>
  <c r="L16" i="13"/>
  <c r="O16" i="13" s="1"/>
  <c r="P22" i="10"/>
  <c r="M12" i="10"/>
  <c r="M220" i="22"/>
  <c r="P220" i="22" s="1"/>
  <c r="P222" i="22"/>
  <c r="M41" i="21"/>
  <c r="L638" i="21"/>
  <c r="O640" i="21"/>
  <c r="O329" i="21"/>
  <c r="N20" i="21"/>
  <c r="N18" i="21" s="1"/>
  <c r="N12" i="21"/>
  <c r="N10" i="21" s="1"/>
  <c r="O640" i="19"/>
  <c r="M20" i="20"/>
  <c r="M18" i="20" s="1"/>
  <c r="P22" i="20"/>
  <c r="M12" i="20"/>
  <c r="L41" i="19"/>
  <c r="L14" i="20"/>
  <c r="O14" i="20" s="1"/>
  <c r="O24" i="20"/>
  <c r="P222" i="19"/>
  <c r="M220" i="19"/>
  <c r="P220" i="19" s="1"/>
  <c r="O294" i="22"/>
  <c r="L292" i="22"/>
  <c r="P9" i="19"/>
  <c r="L9" i="18"/>
  <c r="O11" i="18"/>
  <c r="P43" i="19"/>
  <c r="O19" i="18"/>
  <c r="O273" i="18"/>
  <c r="P142" i="17"/>
  <c r="M140" i="17"/>
  <c r="P140" i="17" s="1"/>
  <c r="P19" i="17"/>
  <c r="L30" i="18"/>
  <c r="O30" i="18" s="1"/>
  <c r="O32" i="18"/>
  <c r="P252" i="17"/>
  <c r="M250" i="17"/>
  <c r="P250" i="17" s="1"/>
  <c r="P29" i="16"/>
  <c r="M28" i="16"/>
  <c r="P28" i="16" s="1"/>
  <c r="O224" i="16"/>
  <c r="L222" i="16"/>
  <c r="P68" i="16"/>
  <c r="M66" i="16"/>
  <c r="P66" i="16" s="1"/>
  <c r="O26" i="15"/>
  <c r="L16" i="15"/>
  <c r="O16" i="15" s="1"/>
  <c r="N20" i="12"/>
  <c r="N18" i="12" s="1"/>
  <c r="N12" i="12"/>
  <c r="N10" i="12" s="1"/>
  <c r="N8" i="12" s="1"/>
  <c r="L638" i="12"/>
  <c r="O640" i="12"/>
  <c r="N20" i="13"/>
  <c r="N18" i="13" s="1"/>
  <c r="N12" i="13"/>
  <c r="N10" i="13" s="1"/>
  <c r="P120" i="11"/>
  <c r="M118" i="11"/>
  <c r="P118" i="11" s="1"/>
  <c r="L13" i="12"/>
  <c r="O13" i="12" s="1"/>
  <c r="P331" i="14"/>
  <c r="M20" i="13"/>
  <c r="P22" i="13"/>
  <c r="M12" i="13"/>
  <c r="P41" i="9"/>
  <c r="L14" i="13"/>
  <c r="O14" i="13" s="1"/>
  <c r="M43" i="10"/>
  <c r="O19" i="11"/>
  <c r="P19" i="9"/>
  <c r="P26" i="11"/>
  <c r="M16" i="11"/>
  <c r="P16" i="11" s="1"/>
  <c r="O26" i="9"/>
  <c r="L16" i="9"/>
  <c r="O16" i="9" s="1"/>
  <c r="L14" i="14"/>
  <c r="O14" i="14" s="1"/>
  <c r="O24" i="14"/>
  <c r="N12" i="9"/>
  <c r="N10" i="9" s="1"/>
  <c r="N20" i="9"/>
  <c r="N18" i="9" s="1"/>
  <c r="N41" i="12"/>
  <c r="O312" i="8"/>
  <c r="L310" i="8"/>
  <c r="O310" i="8" s="1"/>
  <c r="P41" i="8"/>
  <c r="O23" i="11"/>
  <c r="L13" i="11"/>
  <c r="O13" i="11" s="1"/>
  <c r="M20" i="9"/>
  <c r="P22" i="9"/>
  <c r="M12" i="9"/>
  <c r="M9" i="10"/>
  <c r="O32" i="6"/>
  <c r="L30" i="6"/>
  <c r="O312" i="2"/>
  <c r="O24" i="2"/>
  <c r="L14" i="2"/>
  <c r="O14" i="2" s="1"/>
  <c r="P11" i="4"/>
  <c r="M9" i="4"/>
  <c r="P224" i="1"/>
  <c r="M9" i="21"/>
  <c r="P11" i="21"/>
  <c r="P222" i="4"/>
  <c r="M220" i="4"/>
  <c r="P220" i="4" s="1"/>
  <c r="P43" i="2"/>
  <c r="M41" i="2"/>
  <c r="L26" i="1"/>
  <c r="P120" i="20"/>
  <c r="M118" i="20"/>
  <c r="P118" i="20" s="1"/>
  <c r="L29" i="14"/>
  <c r="L11" i="14"/>
  <c r="O31" i="14"/>
  <c r="P142" i="13"/>
  <c r="M140" i="13"/>
  <c r="P140" i="13" s="1"/>
  <c r="M9" i="8"/>
  <c r="P11" i="8"/>
  <c r="P9" i="5"/>
  <c r="O23" i="5"/>
  <c r="L13" i="5"/>
  <c r="O13" i="5" s="1"/>
  <c r="N220" i="2"/>
  <c r="N222" i="1"/>
  <c r="M9" i="1"/>
  <c r="P11" i="1"/>
  <c r="P22" i="22"/>
  <c r="M12" i="22"/>
  <c r="O23" i="15"/>
  <c r="L13" i="15"/>
  <c r="O13" i="15" s="1"/>
  <c r="O19" i="15"/>
  <c r="O24" i="12"/>
  <c r="L14" i="12"/>
  <c r="L29" i="13"/>
  <c r="O31" i="13"/>
  <c r="M20" i="15"/>
  <c r="P22" i="15"/>
  <c r="M12" i="15"/>
  <c r="L9" i="8"/>
  <c r="O11" i="8"/>
  <c r="P140" i="22"/>
  <c r="P19" i="22"/>
  <c r="O31" i="22"/>
  <c r="L29" i="22"/>
  <c r="L11" i="22"/>
  <c r="P68" i="22"/>
  <c r="M66" i="22"/>
  <c r="P66" i="22" s="1"/>
  <c r="O43" i="22"/>
  <c r="N250" i="21"/>
  <c r="P250" i="21" s="1"/>
  <c r="P252" i="21"/>
  <c r="O222" i="21"/>
  <c r="P74" i="21"/>
  <c r="M68" i="21"/>
  <c r="M26" i="21"/>
  <c r="P220" i="21"/>
  <c r="O638" i="19"/>
  <c r="L636" i="19"/>
  <c r="O636" i="19" s="1"/>
  <c r="P41" i="19"/>
  <c r="O23" i="19"/>
  <c r="L13" i="19"/>
  <c r="O13" i="19" s="1"/>
  <c r="O26" i="19"/>
  <c r="L16" i="19"/>
  <c r="O16" i="19" s="1"/>
  <c r="O23" i="22"/>
  <c r="L13" i="22"/>
  <c r="O13" i="22" s="1"/>
  <c r="P19" i="20"/>
  <c r="M140" i="19"/>
  <c r="P140" i="19" s="1"/>
  <c r="P142" i="19"/>
  <c r="L30" i="19"/>
  <c r="O30" i="19" s="1"/>
  <c r="O32" i="19"/>
  <c r="O23" i="20"/>
  <c r="L13" i="20"/>
  <c r="O13" i="20" s="1"/>
  <c r="O19" i="19"/>
  <c r="O26" i="20"/>
  <c r="L16" i="20"/>
  <c r="O16" i="20" s="1"/>
  <c r="L290" i="19"/>
  <c r="O290" i="19" s="1"/>
  <c r="L638" i="17"/>
  <c r="O640" i="17"/>
  <c r="O23" i="17"/>
  <c r="L13" i="17"/>
  <c r="O13" i="17" s="1"/>
  <c r="P120" i="16"/>
  <c r="M118" i="16"/>
  <c r="P118" i="16" s="1"/>
  <c r="O23" i="16"/>
  <c r="L13" i="16"/>
  <c r="O13" i="16" s="1"/>
  <c r="P222" i="16"/>
  <c r="P19" i="15"/>
  <c r="P329" i="14"/>
  <c r="L638" i="13"/>
  <c r="O640" i="13"/>
  <c r="P9" i="15"/>
  <c r="M94" i="13"/>
  <c r="P94" i="13" s="1"/>
  <c r="P96" i="13"/>
  <c r="P312" i="14"/>
  <c r="M310" i="14"/>
  <c r="P310" i="14" s="1"/>
  <c r="O19" i="12"/>
  <c r="M53" i="13"/>
  <c r="P53" i="13" s="1"/>
  <c r="P55" i="13"/>
  <c r="L30" i="12"/>
  <c r="O30" i="12" s="1"/>
  <c r="O32" i="12"/>
  <c r="O224" i="11"/>
  <c r="L222" i="11"/>
  <c r="L53" i="13"/>
  <c r="O53" i="13" s="1"/>
  <c r="M53" i="12"/>
  <c r="O640" i="14"/>
  <c r="L638" i="14"/>
  <c r="M20" i="11"/>
  <c r="P22" i="11"/>
  <c r="M12" i="11"/>
  <c r="L55" i="14"/>
  <c r="O57" i="14"/>
  <c r="M20" i="8"/>
  <c r="P22" i="8"/>
  <c r="M12" i="8"/>
  <c r="L30" i="8"/>
  <c r="O30" i="8" s="1"/>
  <c r="O32" i="8"/>
  <c r="O98" i="11"/>
  <c r="L96" i="11"/>
  <c r="O29" i="9"/>
  <c r="M20" i="7"/>
  <c r="P22" i="7"/>
  <c r="M12" i="7"/>
  <c r="P331" i="9"/>
  <c r="M329" i="9"/>
  <c r="P329" i="9" s="1"/>
  <c r="L53" i="5"/>
  <c r="O53" i="5" s="1"/>
  <c r="P120" i="5"/>
  <c r="L29" i="7"/>
  <c r="L11" i="7"/>
  <c r="O31" i="7"/>
  <c r="N20" i="6"/>
  <c r="N18" i="6" s="1"/>
  <c r="N12" i="6"/>
  <c r="N10" i="6" s="1"/>
  <c r="L29" i="5"/>
  <c r="L11" i="5"/>
  <c r="O31" i="5"/>
  <c r="L638" i="4"/>
  <c r="O640" i="4"/>
  <c r="M250" i="8"/>
  <c r="P250" i="8" s="1"/>
  <c r="P96" i="5"/>
  <c r="M94" i="5"/>
  <c r="P94" i="5" s="1"/>
  <c r="P292" i="2"/>
  <c r="M290" i="2"/>
  <c r="M292" i="1"/>
  <c r="L30" i="2"/>
  <c r="O30" i="2" s="1"/>
  <c r="O32" i="2"/>
  <c r="L333" i="1"/>
  <c r="O333" i="1" s="1"/>
  <c r="P26" i="3"/>
  <c r="M16" i="3"/>
  <c r="P16" i="3" s="1"/>
  <c r="O26" i="2"/>
  <c r="L16" i="2"/>
  <c r="O16" i="2" s="1"/>
  <c r="P68" i="3"/>
  <c r="M66" i="3"/>
  <c r="P66" i="3" s="1"/>
  <c r="M102" i="1"/>
  <c r="P102" i="1" s="1"/>
  <c r="P102" i="2"/>
  <c r="M96" i="2"/>
  <c r="O252" i="19"/>
  <c r="M26" i="5"/>
  <c r="M20" i="5" s="1"/>
  <c r="P102" i="5"/>
  <c r="P292" i="21"/>
  <c r="M290" i="21"/>
  <c r="P290" i="21" s="1"/>
  <c r="M140" i="18"/>
  <c r="P140" i="18" s="1"/>
  <c r="P142" i="18"/>
  <c r="O26" i="18"/>
  <c r="L16" i="18"/>
  <c r="O16" i="18" s="1"/>
  <c r="P292" i="7"/>
  <c r="M290" i="7"/>
  <c r="P290" i="7" s="1"/>
  <c r="P252" i="3"/>
  <c r="M250" i="3"/>
  <c r="M252" i="1"/>
  <c r="N29" i="16"/>
  <c r="N28" i="16" s="1"/>
  <c r="N11" i="16"/>
  <c r="N9" i="16" s="1"/>
  <c r="O224" i="10"/>
  <c r="L222" i="10"/>
  <c r="O24" i="11"/>
  <c r="L14" i="11"/>
  <c r="O14" i="11" s="1"/>
  <c r="O26" i="22"/>
  <c r="L16" i="22"/>
  <c r="O16" i="22" s="1"/>
  <c r="M28" i="22"/>
  <c r="P28" i="22" s="1"/>
  <c r="N37" i="22"/>
  <c r="P96" i="22"/>
  <c r="M94" i="22"/>
  <c r="P94" i="22" s="1"/>
  <c r="L310" i="22"/>
  <c r="O310" i="22" s="1"/>
  <c r="L14" i="22"/>
  <c r="O14" i="22" s="1"/>
  <c r="O32" i="22"/>
  <c r="L30" i="22"/>
  <c r="O30" i="22" s="1"/>
  <c r="P273" i="20"/>
  <c r="M271" i="20"/>
  <c r="P271" i="20" s="1"/>
  <c r="P222" i="21"/>
  <c r="M94" i="19"/>
  <c r="P94" i="19" s="1"/>
  <c r="P96" i="19"/>
  <c r="O224" i="20"/>
  <c r="L222" i="20"/>
  <c r="P41" i="17"/>
  <c r="O26" i="17"/>
  <c r="L16" i="17"/>
  <c r="O16" i="17" s="1"/>
  <c r="M329" i="17"/>
  <c r="P329" i="17" s="1"/>
  <c r="O24" i="16"/>
  <c r="L14" i="16"/>
  <c r="O14" i="16" s="1"/>
  <c r="O224" i="17"/>
  <c r="L222" i="17"/>
  <c r="P96" i="16"/>
  <c r="M94" i="16"/>
  <c r="P94" i="16" s="1"/>
  <c r="L41" i="16"/>
  <c r="O43" i="16"/>
  <c r="O331" i="14"/>
  <c r="O24" i="15"/>
  <c r="L14" i="15"/>
  <c r="O14" i="15" s="1"/>
  <c r="P11" i="12"/>
  <c r="M9" i="12"/>
  <c r="O23" i="14"/>
  <c r="L13" i="14"/>
  <c r="O13" i="14" s="1"/>
  <c r="P11" i="11"/>
  <c r="M9" i="11"/>
  <c r="M250" i="12"/>
  <c r="P250" i="12" s="1"/>
  <c r="P252" i="12"/>
  <c r="P41" i="11"/>
  <c r="P312" i="13"/>
  <c r="M310" i="13"/>
  <c r="P310" i="13" s="1"/>
  <c r="P252" i="10"/>
  <c r="M250" i="10"/>
  <c r="P250" i="10" s="1"/>
  <c r="P252" i="11"/>
  <c r="M250" i="11"/>
  <c r="P250" i="11" s="1"/>
  <c r="O19" i="13"/>
  <c r="M329" i="11"/>
  <c r="P329" i="11" s="1"/>
  <c r="P331" i="11"/>
  <c r="M220" i="6"/>
  <c r="P220" i="6" s="1"/>
  <c r="P222" i="6"/>
  <c r="L30" i="9"/>
  <c r="O30" i="9" s="1"/>
  <c r="O32" i="9"/>
  <c r="O45" i="9"/>
  <c r="L43" i="9"/>
  <c r="L22" i="9"/>
  <c r="L638" i="6"/>
  <c r="O640" i="6"/>
  <c r="P331" i="7"/>
  <c r="N329" i="7"/>
  <c r="O329" i="7" s="1"/>
  <c r="N331" i="1"/>
  <c r="P273" i="6"/>
  <c r="M271" i="6"/>
  <c r="P271" i="6" s="1"/>
  <c r="P55" i="5"/>
  <c r="M53" i="5"/>
  <c r="P53" i="5" s="1"/>
  <c r="O32" i="7"/>
  <c r="L30" i="7"/>
  <c r="O30" i="7" s="1"/>
  <c r="M41" i="5"/>
  <c r="P43" i="5"/>
  <c r="L22" i="6"/>
  <c r="O45" i="6"/>
  <c r="L43" i="6"/>
  <c r="P29" i="6"/>
  <c r="M28" i="6"/>
  <c r="P28" i="6" s="1"/>
  <c r="O331" i="7"/>
  <c r="O26" i="8"/>
  <c r="L16" i="8"/>
  <c r="P273" i="5"/>
  <c r="O122" i="4"/>
  <c r="L120" i="4"/>
  <c r="L122" i="1"/>
  <c r="O122" i="1" s="1"/>
  <c r="O23" i="2"/>
  <c r="L13" i="2"/>
  <c r="O13" i="2" s="1"/>
  <c r="P22" i="3"/>
  <c r="M12" i="3"/>
  <c r="M20" i="3"/>
  <c r="P120" i="3"/>
  <c r="M118" i="3"/>
  <c r="P118" i="3" s="1"/>
  <c r="P19" i="4"/>
  <c r="P273" i="3"/>
  <c r="M273" i="1"/>
  <c r="M271" i="3"/>
  <c r="L310" i="2"/>
  <c r="P140" i="2"/>
  <c r="P312" i="5"/>
  <c r="M310" i="5"/>
  <c r="P310" i="5" s="1"/>
  <c r="L98" i="1"/>
  <c r="O98" i="1" s="1"/>
  <c r="O98" i="2"/>
  <c r="L96" i="2"/>
  <c r="P312" i="15"/>
  <c r="M310" i="15"/>
  <c r="P310" i="15" s="1"/>
  <c r="O331" i="4"/>
  <c r="L329" i="4"/>
  <c r="O329" i="4" s="1"/>
  <c r="M28" i="3"/>
  <c r="P28" i="3" s="1"/>
  <c r="M26" i="2"/>
  <c r="N142" i="1"/>
  <c r="N120" i="1"/>
  <c r="L30" i="3"/>
  <c r="O30" i="3" s="1"/>
  <c r="O32" i="3"/>
  <c r="P142" i="3"/>
  <c r="M142" i="1"/>
  <c r="M140" i="3"/>
  <c r="P140" i="3" s="1"/>
  <c r="O26" i="14"/>
  <c r="L16" i="14"/>
  <c r="O16" i="14" s="1"/>
  <c r="O32" i="15"/>
  <c r="L30" i="15"/>
  <c r="O30" i="15" s="1"/>
  <c r="P26" i="12"/>
  <c r="M16" i="12"/>
  <c r="P16" i="12" s="1"/>
  <c r="P22" i="14"/>
  <c r="M12" i="14"/>
  <c r="N20" i="11"/>
  <c r="N18" i="11" s="1"/>
  <c r="N12" i="11"/>
  <c r="N10" i="11" s="1"/>
  <c r="M9" i="7"/>
  <c r="P11" i="7"/>
  <c r="O41" i="22"/>
  <c r="L636" i="20"/>
  <c r="O636" i="20" s="1"/>
  <c r="O638" i="20"/>
  <c r="M53" i="19"/>
  <c r="P53" i="19" s="1"/>
  <c r="P55" i="19"/>
  <c r="O294" i="18"/>
  <c r="L292" i="18"/>
  <c r="L294" i="1"/>
  <c r="O294" i="1" s="1"/>
  <c r="P19" i="19"/>
  <c r="O26" i="16"/>
  <c r="L16" i="16"/>
  <c r="O16" i="16" s="1"/>
  <c r="N12" i="17"/>
  <c r="N10" i="17" s="1"/>
  <c r="N20" i="17"/>
  <c r="N18" i="17" s="1"/>
  <c r="O24" i="17"/>
  <c r="L14" i="17"/>
  <c r="O14" i="17" s="1"/>
  <c r="P9" i="17"/>
  <c r="P22" i="16"/>
  <c r="M12" i="16"/>
  <c r="P273" i="16"/>
  <c r="M271" i="16"/>
  <c r="P271" i="16" s="1"/>
  <c r="M53" i="14"/>
  <c r="P53" i="14" s="1"/>
  <c r="P55" i="14"/>
  <c r="M329" i="16"/>
  <c r="P329" i="16" s="1"/>
  <c r="P331" i="16"/>
  <c r="O57" i="15"/>
  <c r="L55" i="15"/>
  <c r="O275" i="14"/>
  <c r="L273" i="14"/>
  <c r="P273" i="10"/>
  <c r="M271" i="10"/>
  <c r="P271" i="10" s="1"/>
  <c r="P273" i="12"/>
  <c r="M271" i="12"/>
  <c r="P271" i="12" s="1"/>
  <c r="L638" i="9"/>
  <c r="O640" i="9"/>
  <c r="P292" i="8"/>
  <c r="M290" i="8"/>
  <c r="P290" i="8" s="1"/>
  <c r="L30" i="10"/>
  <c r="O32" i="10"/>
  <c r="O23" i="9"/>
  <c r="L13" i="9"/>
  <c r="O13" i="9" s="1"/>
  <c r="P222" i="9"/>
  <c r="M220" i="9"/>
  <c r="P220" i="9" s="1"/>
  <c r="P312" i="8"/>
  <c r="M310" i="8"/>
  <c r="P310" i="8" s="1"/>
  <c r="M94" i="12"/>
  <c r="P94" i="12" s="1"/>
  <c r="L13" i="8"/>
  <c r="O13" i="8" s="1"/>
  <c r="O23" i="8"/>
  <c r="O24" i="7"/>
  <c r="L14" i="7"/>
  <c r="O14" i="7" s="1"/>
  <c r="O23" i="6"/>
  <c r="L13" i="6"/>
  <c r="O13" i="6" s="1"/>
  <c r="O23" i="7"/>
  <c r="L13" i="7"/>
  <c r="O13" i="7" s="1"/>
  <c r="O26" i="5"/>
  <c r="L16" i="5"/>
  <c r="O16" i="5" s="1"/>
  <c r="O292" i="9"/>
  <c r="L290" i="9"/>
  <c r="O290" i="9" s="1"/>
  <c r="P252" i="5"/>
  <c r="M250" i="5"/>
  <c r="P250" i="5" s="1"/>
  <c r="O57" i="4"/>
  <c r="L55" i="4"/>
  <c r="N250" i="3"/>
  <c r="N252" i="1"/>
  <c r="M20" i="4"/>
  <c r="P22" i="4"/>
  <c r="M12" i="4"/>
  <c r="P55" i="3"/>
  <c r="M53" i="3"/>
  <c r="N273" i="1"/>
  <c r="N271" i="3"/>
  <c r="O222" i="2"/>
  <c r="O224" i="3"/>
  <c r="L222" i="3"/>
  <c r="L224" i="1"/>
  <c r="O224" i="1" s="1"/>
  <c r="N12" i="3"/>
  <c r="N10" i="3" s="1"/>
  <c r="N8" i="3" s="1"/>
  <c r="N20" i="3"/>
  <c r="N18" i="3" s="1"/>
  <c r="O31" i="4"/>
  <c r="L29" i="4"/>
  <c r="L11" i="4"/>
  <c r="O26" i="3"/>
  <c r="L16" i="3"/>
  <c r="O16" i="3" s="1"/>
  <c r="P66" i="2"/>
  <c r="N68" i="1"/>
  <c r="M331" i="22"/>
  <c r="P9" i="22"/>
  <c r="P252" i="20"/>
  <c r="M250" i="20"/>
  <c r="P250" i="20" s="1"/>
  <c r="M26" i="18"/>
  <c r="P74" i="18"/>
  <c r="M68" i="18"/>
  <c r="M74" i="1"/>
  <c r="P74" i="1" s="1"/>
  <c r="O31" i="12"/>
  <c r="L11" i="12"/>
  <c r="L29" i="12"/>
  <c r="O638" i="10"/>
  <c r="L636" i="10"/>
  <c r="O636" i="10" s="1"/>
  <c r="M26" i="10"/>
  <c r="P49" i="10"/>
  <c r="O122" i="9"/>
  <c r="L120" i="9"/>
  <c r="M9" i="6"/>
  <c r="P11" i="6"/>
  <c r="L331" i="13"/>
  <c r="O333" i="13"/>
  <c r="P312" i="4"/>
  <c r="M312" i="1"/>
  <c r="O312" i="21"/>
  <c r="L310" i="21"/>
  <c r="O310" i="21" s="1"/>
  <c r="M41" i="20"/>
  <c r="P43" i="20"/>
  <c r="P222" i="18"/>
  <c r="M220" i="18"/>
  <c r="P220" i="18" s="1"/>
  <c r="O19" i="17"/>
  <c r="L30" i="17"/>
  <c r="O30" i="17" s="1"/>
  <c r="O32" i="17"/>
  <c r="N37" i="14"/>
  <c r="L29" i="15"/>
  <c r="O31" i="15"/>
  <c r="O11" i="11"/>
  <c r="L9" i="11"/>
  <c r="M118" i="9"/>
  <c r="P118" i="9" s="1"/>
  <c r="N29" i="6"/>
  <c r="N28" i="6" s="1"/>
  <c r="N11" i="6"/>
  <c r="N9" i="6" s="1"/>
  <c r="P22" i="5"/>
  <c r="M12" i="5"/>
  <c r="O98" i="3"/>
  <c r="L96" i="3"/>
  <c r="N20" i="7"/>
  <c r="N18" i="7" s="1"/>
  <c r="N12" i="7"/>
  <c r="N10" i="7" s="1"/>
  <c r="O31" i="2"/>
  <c r="L29" i="2"/>
  <c r="L11" i="2"/>
  <c r="N20" i="22"/>
  <c r="N18" i="22" s="1"/>
  <c r="N12" i="22"/>
  <c r="N10" i="22" s="1"/>
  <c r="N8" i="22" s="1"/>
  <c r="O11" i="21"/>
  <c r="L9" i="21"/>
  <c r="O638" i="22"/>
  <c r="L636" i="22"/>
  <c r="O636" i="22" s="1"/>
  <c r="O19" i="22"/>
  <c r="M290" i="22"/>
  <c r="P290" i="22" s="1"/>
  <c r="P331" i="21"/>
  <c r="M329" i="21"/>
  <c r="P329" i="21" s="1"/>
  <c r="L29" i="20"/>
  <c r="L11" i="20"/>
  <c r="O31" i="20"/>
  <c r="L140" i="19"/>
  <c r="O140" i="19" s="1"/>
  <c r="L329" i="20"/>
  <c r="O329" i="20" s="1"/>
  <c r="O23" i="18"/>
  <c r="L13" i="18"/>
  <c r="O13" i="18" s="1"/>
  <c r="P271" i="17"/>
  <c r="P9" i="18"/>
  <c r="M329" i="18"/>
  <c r="P329" i="18" s="1"/>
  <c r="P273" i="17"/>
  <c r="M220" i="17"/>
  <c r="P220" i="17" s="1"/>
  <c r="M26" i="16"/>
  <c r="M20" i="16" s="1"/>
  <c r="L638" i="16"/>
  <c r="O640" i="16"/>
  <c r="L22" i="16"/>
  <c r="N12" i="16"/>
  <c r="N10" i="16" s="1"/>
  <c r="N20" i="16"/>
  <c r="N18" i="16" s="1"/>
  <c r="P49" i="14"/>
  <c r="M26" i="14"/>
  <c r="M20" i="14" s="1"/>
  <c r="N12" i="15"/>
  <c r="N10" i="15" s="1"/>
  <c r="N20" i="15"/>
  <c r="N18" i="15" s="1"/>
  <c r="L22" i="14"/>
  <c r="O55" i="12"/>
  <c r="L53" i="12"/>
  <c r="O53" i="12" s="1"/>
  <c r="M140" i="12"/>
  <c r="P140" i="12" s="1"/>
  <c r="P142" i="12"/>
  <c r="N11" i="13"/>
  <c r="N9" i="13" s="1"/>
  <c r="P252" i="13"/>
  <c r="M250" i="13"/>
  <c r="P250" i="13" s="1"/>
  <c r="L22" i="15"/>
  <c r="L638" i="11"/>
  <c r="O640" i="11"/>
  <c r="M9" i="9"/>
  <c r="P11" i="9"/>
  <c r="P220" i="10"/>
  <c r="O640" i="8"/>
  <c r="L638" i="8"/>
  <c r="P120" i="12"/>
  <c r="M118" i="12"/>
  <c r="P118" i="12" s="1"/>
  <c r="P142" i="11"/>
  <c r="M140" i="11"/>
  <c r="P140" i="11" s="1"/>
  <c r="M43" i="14"/>
  <c r="L22" i="11"/>
  <c r="M41" i="13"/>
  <c r="O26" i="11"/>
  <c r="L16" i="11"/>
  <c r="O16" i="11" s="1"/>
  <c r="O45" i="10"/>
  <c r="L22" i="10"/>
  <c r="L43" i="10"/>
  <c r="O640" i="7"/>
  <c r="L638" i="7"/>
  <c r="O23" i="13"/>
  <c r="L13" i="13"/>
  <c r="O13" i="13" s="1"/>
  <c r="L55" i="8"/>
  <c r="O57" i="8"/>
  <c r="L22" i="7"/>
  <c r="O45" i="7"/>
  <c r="L43" i="7"/>
  <c r="N12" i="8"/>
  <c r="N20" i="8"/>
  <c r="N18" i="8" s="1"/>
  <c r="O57" i="7"/>
  <c r="L55" i="7"/>
  <c r="L22" i="5"/>
  <c r="L43" i="5"/>
  <c r="O45" i="5"/>
  <c r="O26" i="7"/>
  <c r="L16" i="7"/>
  <c r="O16" i="7" s="1"/>
  <c r="N20" i="4"/>
  <c r="N18" i="4" s="1"/>
  <c r="N12" i="4"/>
  <c r="N10" i="4" s="1"/>
  <c r="O275" i="2"/>
  <c r="L273" i="2"/>
  <c r="L275" i="1"/>
  <c r="O275" i="1" s="1"/>
  <c r="M53" i="1"/>
  <c r="O26" i="6"/>
  <c r="L16" i="6"/>
  <c r="O16" i="6" s="1"/>
  <c r="P298" i="2"/>
  <c r="M298" i="1"/>
  <c r="P298" i="1" s="1"/>
  <c r="O271" i="5"/>
  <c r="O23" i="3"/>
  <c r="L13" i="3"/>
  <c r="O13" i="3" s="1"/>
  <c r="L22" i="8"/>
  <c r="P26" i="7"/>
  <c r="M16" i="7"/>
  <c r="P16" i="7" s="1"/>
  <c r="O638" i="3"/>
  <c r="L636" i="3"/>
  <c r="O636" i="3" s="1"/>
  <c r="O19" i="1"/>
  <c r="O582" i="1"/>
  <c r="M120" i="1"/>
  <c r="P19" i="1"/>
  <c r="P43" i="4" l="1"/>
  <c r="O250" i="2"/>
  <c r="N8" i="13"/>
  <c r="L220" i="14"/>
  <c r="O220" i="14" s="1"/>
  <c r="L290" i="13"/>
  <c r="O290" i="13" s="1"/>
  <c r="O43" i="2"/>
  <c r="O68" i="13"/>
  <c r="O220" i="13"/>
  <c r="P220" i="13"/>
  <c r="N220" i="1"/>
  <c r="O331" i="8"/>
  <c r="O43" i="3"/>
  <c r="O43" i="20"/>
  <c r="L250" i="7"/>
  <c r="O250" i="7" s="1"/>
  <c r="O11" i="9"/>
  <c r="L290" i="21"/>
  <c r="O290" i="21" s="1"/>
  <c r="L329" i="9"/>
  <c r="O329" i="9" s="1"/>
  <c r="L329" i="17"/>
  <c r="O329" i="17" s="1"/>
  <c r="O142" i="14"/>
  <c r="O55" i="20"/>
  <c r="O273" i="16"/>
  <c r="O142" i="8"/>
  <c r="L140" i="6"/>
  <c r="O140" i="6" s="1"/>
  <c r="L53" i="22"/>
  <c r="O53" i="22" s="1"/>
  <c r="L329" i="3"/>
  <c r="O329" i="3" s="1"/>
  <c r="L220" i="6"/>
  <c r="O220" i="6" s="1"/>
  <c r="L118" i="10"/>
  <c r="O118" i="10" s="1"/>
  <c r="L66" i="9"/>
  <c r="O66" i="9" s="1"/>
  <c r="L290" i="2"/>
  <c r="O290" i="2" s="1"/>
  <c r="L118" i="15"/>
  <c r="O118" i="15" s="1"/>
  <c r="L310" i="4"/>
  <c r="O310" i="4" s="1"/>
  <c r="P55" i="1"/>
  <c r="L271" i="8"/>
  <c r="O271" i="8" s="1"/>
  <c r="O96" i="21"/>
  <c r="P53" i="1"/>
  <c r="L250" i="4"/>
  <c r="O250" i="4" s="1"/>
  <c r="L250" i="3"/>
  <c r="O250" i="3" s="1"/>
  <c r="L66" i="6"/>
  <c r="O66" i="6" s="1"/>
  <c r="L94" i="19"/>
  <c r="O94" i="19" s="1"/>
  <c r="L329" i="19"/>
  <c r="O329" i="19" s="1"/>
  <c r="L20" i="12"/>
  <c r="O20" i="12" s="1"/>
  <c r="O96" i="12"/>
  <c r="L41" i="8"/>
  <c r="O41" i="8" s="1"/>
  <c r="L9" i="19"/>
  <c r="O9" i="19" s="1"/>
  <c r="O312" i="7"/>
  <c r="O331" i="16"/>
  <c r="L250" i="9"/>
  <c r="O250" i="9" s="1"/>
  <c r="L140" i="3"/>
  <c r="O140" i="3" s="1"/>
  <c r="L329" i="2"/>
  <c r="O329" i="2" s="1"/>
  <c r="N8" i="2"/>
  <c r="O120" i="21"/>
  <c r="O55" i="3"/>
  <c r="O222" i="22"/>
  <c r="L250" i="8"/>
  <c r="O250" i="8" s="1"/>
  <c r="O142" i="11"/>
  <c r="O45" i="1"/>
  <c r="N8" i="20"/>
  <c r="N8" i="15"/>
  <c r="O638" i="1"/>
  <c r="L310" i="14"/>
  <c r="O310" i="14" s="1"/>
  <c r="L66" i="20"/>
  <c r="O66" i="20" s="1"/>
  <c r="L140" i="5"/>
  <c r="O140" i="5" s="1"/>
  <c r="N8" i="9"/>
  <c r="L250" i="14"/>
  <c r="O250" i="14" s="1"/>
  <c r="P41" i="15"/>
  <c r="L140" i="18"/>
  <c r="O140" i="18" s="1"/>
  <c r="P118" i="4"/>
  <c r="L271" i="20"/>
  <c r="O271" i="20" s="1"/>
  <c r="P12" i="19"/>
  <c r="L9" i="6"/>
  <c r="O9" i="6" s="1"/>
  <c r="L53" i="6"/>
  <c r="O53" i="6" s="1"/>
  <c r="O142" i="20"/>
  <c r="L53" i="11"/>
  <c r="O53" i="11" s="1"/>
  <c r="O222" i="13"/>
  <c r="O292" i="5"/>
  <c r="L118" i="18"/>
  <c r="O118" i="18" s="1"/>
  <c r="L220" i="8"/>
  <c r="O220" i="8" s="1"/>
  <c r="L41" i="14"/>
  <c r="O41" i="14" s="1"/>
  <c r="L271" i="9"/>
  <c r="O271" i="9" s="1"/>
  <c r="L290" i="14"/>
  <c r="O290" i="14" s="1"/>
  <c r="O96" i="7"/>
  <c r="O142" i="21"/>
  <c r="O11" i="17"/>
  <c r="N8" i="4"/>
  <c r="O252" i="16"/>
  <c r="L290" i="7"/>
  <c r="O290" i="7" s="1"/>
  <c r="N11" i="1"/>
  <c r="N9" i="1" s="1"/>
  <c r="O43" i="21"/>
  <c r="O22" i="21"/>
  <c r="O34" i="1"/>
  <c r="L118" i="2"/>
  <c r="O118" i="2" s="1"/>
  <c r="L94" i="18"/>
  <c r="O94" i="18" s="1"/>
  <c r="O331" i="6"/>
  <c r="L290" i="10"/>
  <c r="O290" i="10" s="1"/>
  <c r="L271" i="12"/>
  <c r="O271" i="12" s="1"/>
  <c r="L118" i="20"/>
  <c r="O118" i="20" s="1"/>
  <c r="P271" i="8"/>
  <c r="O41" i="12"/>
  <c r="N8" i="14"/>
  <c r="L290" i="15"/>
  <c r="O290" i="15" s="1"/>
  <c r="O312" i="10"/>
  <c r="L250" i="17"/>
  <c r="O250" i="17" s="1"/>
  <c r="M329" i="19"/>
  <c r="P329" i="19" s="1"/>
  <c r="L140" i="16"/>
  <c r="O140" i="16" s="1"/>
  <c r="L41" i="13"/>
  <c r="O41" i="13" s="1"/>
  <c r="L66" i="11"/>
  <c r="O66" i="11" s="1"/>
  <c r="L53" i="21"/>
  <c r="O53" i="21" s="1"/>
  <c r="O20" i="19"/>
  <c r="N8" i="5"/>
  <c r="L220" i="15"/>
  <c r="O220" i="15" s="1"/>
  <c r="O273" i="11"/>
  <c r="N8" i="11"/>
  <c r="O22" i="18"/>
  <c r="O222" i="19"/>
  <c r="O271" i="21"/>
  <c r="L250" i="10"/>
  <c r="O250" i="10" s="1"/>
  <c r="O96" i="14"/>
  <c r="L94" i="14"/>
  <c r="O94" i="14" s="1"/>
  <c r="L20" i="22"/>
  <c r="L18" i="22" s="1"/>
  <c r="O18" i="22" s="1"/>
  <c r="L94" i="17"/>
  <c r="O94" i="17" s="1"/>
  <c r="L12" i="22"/>
  <c r="O12" i="22" s="1"/>
  <c r="O252" i="2"/>
  <c r="P49" i="1"/>
  <c r="O96" i="5"/>
  <c r="L310" i="15"/>
  <c r="O310" i="15" s="1"/>
  <c r="L66" i="10"/>
  <c r="O66" i="10" s="1"/>
  <c r="L12" i="19"/>
  <c r="O12" i="19" s="1"/>
  <c r="P41" i="18"/>
  <c r="N20" i="1"/>
  <c r="N18" i="1" s="1"/>
  <c r="L12" i="3"/>
  <c r="L10" i="3" s="1"/>
  <c r="O10" i="3" s="1"/>
  <c r="L250" i="13"/>
  <c r="O250" i="13" s="1"/>
  <c r="L118" i="12"/>
  <c r="O118" i="12" s="1"/>
  <c r="O22" i="19"/>
  <c r="L250" i="20"/>
  <c r="O250" i="20" s="1"/>
  <c r="O638" i="5"/>
  <c r="L250" i="11"/>
  <c r="O250" i="11" s="1"/>
  <c r="L140" i="4"/>
  <c r="O140" i="4" s="1"/>
  <c r="L28" i="11"/>
  <c r="O28" i="11" s="1"/>
  <c r="L94" i="4"/>
  <c r="O94" i="4" s="1"/>
  <c r="N8" i="10"/>
  <c r="O120" i="22"/>
  <c r="L118" i="22"/>
  <c r="O118" i="22" s="1"/>
  <c r="O250" i="21"/>
  <c r="L118" i="13"/>
  <c r="O118" i="13" s="1"/>
  <c r="O30" i="1"/>
  <c r="O636" i="1"/>
  <c r="L252" i="1"/>
  <c r="O252" i="1" s="1"/>
  <c r="L12" i="20"/>
  <c r="L10" i="20" s="1"/>
  <c r="O10" i="20" s="1"/>
  <c r="O43" i="15"/>
  <c r="L20" i="18"/>
  <c r="O20" i="18" s="1"/>
  <c r="L41" i="4"/>
  <c r="O41" i="4" s="1"/>
  <c r="O312" i="18"/>
  <c r="L20" i="20"/>
  <c r="L18" i="20" s="1"/>
  <c r="O18" i="20" s="1"/>
  <c r="L271" i="4"/>
  <c r="O271" i="4" s="1"/>
  <c r="N118" i="1"/>
  <c r="O252" i="21"/>
  <c r="N8" i="21"/>
  <c r="L12" i="13"/>
  <c r="O12" i="13" s="1"/>
  <c r="O22" i="3"/>
  <c r="L66" i="19"/>
  <c r="O66" i="19" s="1"/>
  <c r="O22" i="13"/>
  <c r="M37" i="15"/>
  <c r="P37" i="15" s="1"/>
  <c r="L66" i="22"/>
  <c r="O66" i="22" s="1"/>
  <c r="O32" i="1"/>
  <c r="L140" i="12"/>
  <c r="O140" i="12" s="1"/>
  <c r="N271" i="1"/>
  <c r="L250" i="12"/>
  <c r="O250" i="12" s="1"/>
  <c r="O638" i="18"/>
  <c r="O11" i="1"/>
  <c r="O31" i="1"/>
  <c r="L312" i="1"/>
  <c r="O312" i="1" s="1"/>
  <c r="N28" i="1"/>
  <c r="O252" i="12"/>
  <c r="L12" i="17"/>
  <c r="O12" i="17" s="1"/>
  <c r="L118" i="14"/>
  <c r="O118" i="14" s="1"/>
  <c r="O142" i="7"/>
  <c r="L29" i="1"/>
  <c r="O29" i="1" s="1"/>
  <c r="O273" i="21"/>
  <c r="P53" i="11"/>
  <c r="O22" i="17"/>
  <c r="L310" i="9"/>
  <c r="O310" i="9" s="1"/>
  <c r="N12" i="1"/>
  <c r="N10" i="1" s="1"/>
  <c r="O640" i="1"/>
  <c r="O22" i="4"/>
  <c r="P120" i="1"/>
  <c r="P22" i="1"/>
  <c r="O252" i="22"/>
  <c r="L250" i="22"/>
  <c r="O250" i="22" s="1"/>
  <c r="N8" i="19"/>
  <c r="O312" i="3"/>
  <c r="L310" i="3"/>
  <c r="O310" i="3" s="1"/>
  <c r="O120" i="11"/>
  <c r="L118" i="11"/>
  <c r="O118" i="11" s="1"/>
  <c r="O292" i="8"/>
  <c r="L290" i="8"/>
  <c r="O290" i="8" s="1"/>
  <c r="P12" i="2"/>
  <c r="L20" i="4"/>
  <c r="L18" i="4" s="1"/>
  <c r="O18" i="4" s="1"/>
  <c r="O18" i="17"/>
  <c r="L250" i="15"/>
  <c r="O250" i="15" s="1"/>
  <c r="L12" i="12"/>
  <c r="L10" i="12" s="1"/>
  <c r="O10" i="12" s="1"/>
  <c r="N8" i="17"/>
  <c r="L220" i="5"/>
  <c r="O220" i="5" s="1"/>
  <c r="L53" i="16"/>
  <c r="O53" i="16" s="1"/>
  <c r="O292" i="4"/>
  <c r="O252" i="18"/>
  <c r="L250" i="18"/>
  <c r="O250" i="18" s="1"/>
  <c r="O142" i="13"/>
  <c r="L140" i="13"/>
  <c r="O140" i="13" s="1"/>
  <c r="O271" i="3"/>
  <c r="O273" i="17"/>
  <c r="P292" i="1"/>
  <c r="O55" i="17"/>
  <c r="L310" i="19"/>
  <c r="O310" i="19" s="1"/>
  <c r="L292" i="1"/>
  <c r="O292" i="1" s="1"/>
  <c r="O292" i="11"/>
  <c r="L290" i="11"/>
  <c r="O290" i="11" s="1"/>
  <c r="M329" i="20"/>
  <c r="P329" i="20" s="1"/>
  <c r="P331" i="20"/>
  <c r="L250" i="5"/>
  <c r="O250" i="5" s="1"/>
  <c r="L140" i="10"/>
  <c r="O140" i="10" s="1"/>
  <c r="L310" i="16"/>
  <c r="O310" i="16" s="1"/>
  <c r="P20" i="9"/>
  <c r="O120" i="7"/>
  <c r="L118" i="7"/>
  <c r="O118" i="7" s="1"/>
  <c r="L20" i="21"/>
  <c r="L18" i="21" s="1"/>
  <c r="O18" i="21" s="1"/>
  <c r="O220" i="2"/>
  <c r="L220" i="18"/>
  <c r="O220" i="18" s="1"/>
  <c r="N8" i="7"/>
  <c r="N250" i="1"/>
  <c r="P142" i="1"/>
  <c r="L94" i="8"/>
  <c r="O94" i="8" s="1"/>
  <c r="O96" i="8"/>
  <c r="L120" i="1"/>
  <c r="O120" i="1" s="1"/>
  <c r="O43" i="12"/>
  <c r="L68" i="1"/>
  <c r="O68" i="1" s="1"/>
  <c r="O16" i="8"/>
  <c r="O68" i="21"/>
  <c r="L66" i="21"/>
  <c r="O66" i="21" s="1"/>
  <c r="N10" i="8"/>
  <c r="N8" i="8" s="1"/>
  <c r="L94" i="16"/>
  <c r="O94" i="16" s="1"/>
  <c r="P66" i="6"/>
  <c r="O14" i="12"/>
  <c r="O53" i="2"/>
  <c r="O142" i="15"/>
  <c r="L140" i="15"/>
  <c r="O140" i="15" s="1"/>
  <c r="P329" i="7"/>
  <c r="M271" i="1"/>
  <c r="M37" i="17"/>
  <c r="P37" i="17" s="1"/>
  <c r="O331" i="11"/>
  <c r="L329" i="11"/>
  <c r="O329" i="11" s="1"/>
  <c r="O68" i="3"/>
  <c r="L66" i="3"/>
  <c r="O66" i="3" s="1"/>
  <c r="O68" i="12"/>
  <c r="L66" i="12"/>
  <c r="O66" i="12" s="1"/>
  <c r="M16" i="6"/>
  <c r="P26" i="6"/>
  <c r="M20" i="6"/>
  <c r="M18" i="6" s="1"/>
  <c r="P18" i="6" s="1"/>
  <c r="L140" i="22"/>
  <c r="O140" i="22" s="1"/>
  <c r="O142" i="22"/>
  <c r="L28" i="8"/>
  <c r="O28" i="8" s="1"/>
  <c r="O222" i="12"/>
  <c r="L220" i="12"/>
  <c r="O220" i="12" s="1"/>
  <c r="O331" i="12"/>
  <c r="L329" i="12"/>
  <c r="O329" i="12" s="1"/>
  <c r="O14" i="6"/>
  <c r="P20" i="17"/>
  <c r="L20" i="2"/>
  <c r="O20" i="2" s="1"/>
  <c r="L14" i="1"/>
  <c r="O14" i="1" s="1"/>
  <c r="L94" i="9"/>
  <c r="O94" i="9" s="1"/>
  <c r="O96" i="9"/>
  <c r="N66" i="1"/>
  <c r="L12" i="2"/>
  <c r="O12" i="2" s="1"/>
  <c r="O68" i="18"/>
  <c r="L66" i="18"/>
  <c r="O66" i="18" s="1"/>
  <c r="O43" i="17"/>
  <c r="L41" i="17"/>
  <c r="O41" i="17" s="1"/>
  <c r="O11" i="10"/>
  <c r="L9" i="10"/>
  <c r="O9" i="10" s="1"/>
  <c r="O68" i="7"/>
  <c r="L66" i="7"/>
  <c r="O66" i="7" s="1"/>
  <c r="P26" i="19"/>
  <c r="M16" i="19"/>
  <c r="M20" i="19"/>
  <c r="O312" i="6"/>
  <c r="L310" i="6"/>
  <c r="O310" i="6" s="1"/>
  <c r="O273" i="22"/>
  <c r="L271" i="22"/>
  <c r="O271" i="22" s="1"/>
  <c r="M250" i="1"/>
  <c r="L310" i="13"/>
  <c r="O310" i="13" s="1"/>
  <c r="O312" i="13"/>
  <c r="O68" i="15"/>
  <c r="L66" i="15"/>
  <c r="O66" i="15" s="1"/>
  <c r="O292" i="12"/>
  <c r="L290" i="12"/>
  <c r="O290" i="12" s="1"/>
  <c r="P20" i="16"/>
  <c r="M18" i="16"/>
  <c r="P18" i="16" s="1"/>
  <c r="P20" i="14"/>
  <c r="M18" i="14"/>
  <c r="P18" i="14" s="1"/>
  <c r="O22" i="10"/>
  <c r="L12" i="10"/>
  <c r="L20" i="10"/>
  <c r="P20" i="4"/>
  <c r="L636" i="6"/>
  <c r="O636" i="6" s="1"/>
  <c r="O638" i="6"/>
  <c r="M10" i="13"/>
  <c r="P12" i="13"/>
  <c r="O29" i="3"/>
  <c r="L28" i="3"/>
  <c r="O28" i="3" s="1"/>
  <c r="O96" i="15"/>
  <c r="L94" i="15"/>
  <c r="O94" i="15" s="1"/>
  <c r="L94" i="20"/>
  <c r="O94" i="20" s="1"/>
  <c r="O96" i="20"/>
  <c r="P41" i="7"/>
  <c r="M37" i="7"/>
  <c r="P41" i="13"/>
  <c r="M37" i="13"/>
  <c r="P37" i="13" s="1"/>
  <c r="O22" i="16"/>
  <c r="L12" i="16"/>
  <c r="L20" i="16"/>
  <c r="O96" i="3"/>
  <c r="L94" i="3"/>
  <c r="O94" i="3" s="1"/>
  <c r="O9" i="11"/>
  <c r="P26" i="10"/>
  <c r="M16" i="10"/>
  <c r="P16" i="10" s="1"/>
  <c r="P331" i="22"/>
  <c r="M329" i="22"/>
  <c r="P329" i="22" s="1"/>
  <c r="L222" i="1"/>
  <c r="O222" i="1" s="1"/>
  <c r="O222" i="3"/>
  <c r="L220" i="3"/>
  <c r="O30" i="10"/>
  <c r="L28" i="10"/>
  <c r="O28" i="10" s="1"/>
  <c r="M18" i="4"/>
  <c r="P18" i="4" s="1"/>
  <c r="L20" i="9"/>
  <c r="O22" i="9"/>
  <c r="L12" i="9"/>
  <c r="M37" i="11"/>
  <c r="P37" i="11" s="1"/>
  <c r="O222" i="17"/>
  <c r="L220" i="17"/>
  <c r="O220" i="17" s="1"/>
  <c r="O222" i="20"/>
  <c r="L220" i="20"/>
  <c r="O220" i="20" s="1"/>
  <c r="P41" i="4"/>
  <c r="M37" i="4"/>
  <c r="P37" i="4" s="1"/>
  <c r="L28" i="5"/>
  <c r="O28" i="5" s="1"/>
  <c r="O29" i="5"/>
  <c r="M331" i="1"/>
  <c r="P331" i="1" s="1"/>
  <c r="L28" i="9"/>
  <c r="O28" i="9" s="1"/>
  <c r="P20" i="15"/>
  <c r="O29" i="14"/>
  <c r="L28" i="14"/>
  <c r="O28" i="14" s="1"/>
  <c r="O26" i="1"/>
  <c r="L16" i="1"/>
  <c r="O16" i="1" s="1"/>
  <c r="O30" i="6"/>
  <c r="L28" i="6"/>
  <c r="O28" i="6" s="1"/>
  <c r="P12" i="9"/>
  <c r="M10" i="9"/>
  <c r="P10" i="9" s="1"/>
  <c r="O41" i="19"/>
  <c r="L636" i="15"/>
  <c r="O636" i="15" s="1"/>
  <c r="O638" i="15"/>
  <c r="L636" i="2"/>
  <c r="O636" i="2" s="1"/>
  <c r="O638" i="2"/>
  <c r="O41" i="11"/>
  <c r="L28" i="19"/>
  <c r="O28" i="19" s="1"/>
  <c r="P53" i="22"/>
  <c r="O29" i="16"/>
  <c r="L28" i="16"/>
  <c r="O28" i="16" s="1"/>
  <c r="P26" i="22"/>
  <c r="M16" i="22"/>
  <c r="P16" i="22" s="1"/>
  <c r="O29" i="20"/>
  <c r="L28" i="20"/>
  <c r="O28" i="20" s="1"/>
  <c r="M96" i="1"/>
  <c r="P96" i="1" s="1"/>
  <c r="P96" i="2"/>
  <c r="M94" i="2"/>
  <c r="M37" i="2" s="1"/>
  <c r="P290" i="2"/>
  <c r="M290" i="1"/>
  <c r="P290" i="1" s="1"/>
  <c r="M10" i="11"/>
  <c r="P10" i="11" s="1"/>
  <c r="P12" i="11"/>
  <c r="L10" i="21"/>
  <c r="O10" i="21" s="1"/>
  <c r="O12" i="21"/>
  <c r="L20" i="11"/>
  <c r="O22" i="11"/>
  <c r="L12" i="11"/>
  <c r="L9" i="2"/>
  <c r="O11" i="2"/>
  <c r="P20" i="11"/>
  <c r="M18" i="11"/>
  <c r="P18" i="11" s="1"/>
  <c r="P20" i="13"/>
  <c r="M18" i="13"/>
  <c r="P18" i="13" s="1"/>
  <c r="O9" i="13"/>
  <c r="M37" i="6"/>
  <c r="P37" i="6" s="1"/>
  <c r="P43" i="14"/>
  <c r="M41" i="14"/>
  <c r="O638" i="16"/>
  <c r="L636" i="16"/>
  <c r="O636" i="16" s="1"/>
  <c r="O9" i="17"/>
  <c r="O29" i="2"/>
  <c r="L28" i="2"/>
  <c r="O28" i="2" s="1"/>
  <c r="P20" i="5"/>
  <c r="M18" i="5"/>
  <c r="P18" i="5" s="1"/>
  <c r="O331" i="13"/>
  <c r="L329" i="13"/>
  <c r="O329" i="13" s="1"/>
  <c r="O29" i="4"/>
  <c r="L28" i="4"/>
  <c r="O28" i="4" s="1"/>
  <c r="O55" i="4"/>
  <c r="L53" i="4"/>
  <c r="O53" i="4" s="1"/>
  <c r="L271" i="14"/>
  <c r="O271" i="14" s="1"/>
  <c r="O273" i="14"/>
  <c r="M140" i="1"/>
  <c r="P140" i="1" s="1"/>
  <c r="L331" i="1"/>
  <c r="O331" i="1" s="1"/>
  <c r="L636" i="14"/>
  <c r="O636" i="14" s="1"/>
  <c r="O638" i="14"/>
  <c r="L18" i="19"/>
  <c r="O18" i="19" s="1"/>
  <c r="P26" i="21"/>
  <c r="M16" i="21"/>
  <c r="P16" i="21" s="1"/>
  <c r="O9" i="8"/>
  <c r="O29" i="13"/>
  <c r="L28" i="13"/>
  <c r="O28" i="13" s="1"/>
  <c r="P20" i="22"/>
  <c r="P9" i="8"/>
  <c r="O222" i="16"/>
  <c r="L220" i="16"/>
  <c r="O220" i="16" s="1"/>
  <c r="O292" i="22"/>
  <c r="L290" i="22"/>
  <c r="O290" i="22" s="1"/>
  <c r="L636" i="21"/>
  <c r="O636" i="21" s="1"/>
  <c r="O638" i="21"/>
  <c r="M20" i="10"/>
  <c r="O96" i="10"/>
  <c r="L94" i="10"/>
  <c r="O94" i="10" s="1"/>
  <c r="M10" i="12"/>
  <c r="P10" i="12" s="1"/>
  <c r="P12" i="12"/>
  <c r="M10" i="17"/>
  <c r="P12" i="17"/>
  <c r="P9" i="20"/>
  <c r="O120" i="6"/>
  <c r="L118" i="6"/>
  <c r="O118" i="6" s="1"/>
  <c r="P43" i="1"/>
  <c r="M41" i="1"/>
  <c r="L10" i="4"/>
  <c r="O10" i="4" s="1"/>
  <c r="O12" i="4"/>
  <c r="L636" i="8"/>
  <c r="O636" i="8" s="1"/>
  <c r="O638" i="8"/>
  <c r="O11" i="14"/>
  <c r="L9" i="14"/>
  <c r="O9" i="18"/>
  <c r="L53" i="8"/>
  <c r="O55" i="8"/>
  <c r="P26" i="2"/>
  <c r="M16" i="2"/>
  <c r="M20" i="2"/>
  <c r="L20" i="6"/>
  <c r="L12" i="6"/>
  <c r="O22" i="6"/>
  <c r="O43" i="5"/>
  <c r="L41" i="5"/>
  <c r="P9" i="9"/>
  <c r="P26" i="16"/>
  <c r="M16" i="16"/>
  <c r="P16" i="16" s="1"/>
  <c r="P12" i="5"/>
  <c r="M20" i="18"/>
  <c r="P26" i="18"/>
  <c r="M16" i="18"/>
  <c r="O41" i="2"/>
  <c r="P53" i="3"/>
  <c r="M37" i="3"/>
  <c r="P12" i="16"/>
  <c r="O20" i="17"/>
  <c r="P9" i="7"/>
  <c r="O96" i="2"/>
  <c r="L96" i="1"/>
  <c r="O96" i="1" s="1"/>
  <c r="L94" i="2"/>
  <c r="O310" i="2"/>
  <c r="P41" i="5"/>
  <c r="M37" i="5"/>
  <c r="P37" i="5" s="1"/>
  <c r="O9" i="9"/>
  <c r="O222" i="10"/>
  <c r="L220" i="10"/>
  <c r="O220" i="10" s="1"/>
  <c r="O9" i="1"/>
  <c r="P12" i="7"/>
  <c r="M10" i="7"/>
  <c r="P10" i="7" s="1"/>
  <c r="P18" i="20"/>
  <c r="P68" i="21"/>
  <c r="M66" i="21"/>
  <c r="P66" i="21" s="1"/>
  <c r="L9" i="22"/>
  <c r="O11" i="22"/>
  <c r="O12" i="18"/>
  <c r="L10" i="18"/>
  <c r="P12" i="22"/>
  <c r="N37" i="12"/>
  <c r="P41" i="12"/>
  <c r="P43" i="10"/>
  <c r="M41" i="10"/>
  <c r="M18" i="17"/>
  <c r="P18" i="17" s="1"/>
  <c r="P20" i="20"/>
  <c r="O41" i="21"/>
  <c r="P12" i="10"/>
  <c r="O57" i="1"/>
  <c r="L55" i="1"/>
  <c r="N37" i="16"/>
  <c r="P41" i="16"/>
  <c r="O66" i="2"/>
  <c r="P9" i="3"/>
  <c r="P12" i="8"/>
  <c r="M10" i="8"/>
  <c r="P68" i="18"/>
  <c r="M66" i="18"/>
  <c r="L41" i="9"/>
  <c r="O43" i="9"/>
  <c r="P20" i="8"/>
  <c r="M18" i="8"/>
  <c r="P18" i="8" s="1"/>
  <c r="P41" i="2"/>
  <c r="M10" i="20"/>
  <c r="P10" i="20" s="1"/>
  <c r="P12" i="20"/>
  <c r="N37" i="21"/>
  <c r="L20" i="5"/>
  <c r="O22" i="5"/>
  <c r="L12" i="5"/>
  <c r="O43" i="7"/>
  <c r="L41" i="7"/>
  <c r="L636" i="7"/>
  <c r="O636" i="7" s="1"/>
  <c r="O638" i="7"/>
  <c r="P26" i="14"/>
  <c r="M16" i="14"/>
  <c r="P16" i="14" s="1"/>
  <c r="P9" i="6"/>
  <c r="O41" i="15"/>
  <c r="O292" i="18"/>
  <c r="L290" i="18"/>
  <c r="O290" i="18" s="1"/>
  <c r="N37" i="3"/>
  <c r="P271" i="3"/>
  <c r="O18" i="13"/>
  <c r="O41" i="16"/>
  <c r="O41" i="20"/>
  <c r="L22" i="1"/>
  <c r="P252" i="1"/>
  <c r="O11" i="7"/>
  <c r="L9" i="7"/>
  <c r="O55" i="14"/>
  <c r="L53" i="14"/>
  <c r="O53" i="14" s="1"/>
  <c r="P53" i="12"/>
  <c r="M37" i="12"/>
  <c r="O29" i="22"/>
  <c r="L28" i="22"/>
  <c r="O28" i="22" s="1"/>
  <c r="P12" i="6"/>
  <c r="N37" i="2"/>
  <c r="P41" i="21"/>
  <c r="O33" i="1"/>
  <c r="L13" i="1"/>
  <c r="O13" i="1" s="1"/>
  <c r="P222" i="1"/>
  <c r="N37" i="7"/>
  <c r="P20" i="12"/>
  <c r="M18" i="12"/>
  <c r="P18" i="12" s="1"/>
  <c r="P53" i="16"/>
  <c r="M37" i="16"/>
  <c r="P12" i="21"/>
  <c r="O331" i="22"/>
  <c r="L329" i="22"/>
  <c r="O329" i="22" s="1"/>
  <c r="M26" i="1"/>
  <c r="O20" i="3"/>
  <c r="L18" i="3"/>
  <c r="O18" i="3" s="1"/>
  <c r="O43" i="6"/>
  <c r="L41" i="6"/>
  <c r="N8" i="16"/>
  <c r="L9" i="5"/>
  <c r="O11" i="5"/>
  <c r="L20" i="14"/>
  <c r="O22" i="14"/>
  <c r="L12" i="14"/>
  <c r="O11" i="4"/>
  <c r="L9" i="4"/>
  <c r="O96" i="11"/>
  <c r="L94" i="11"/>
  <c r="O94" i="11" s="1"/>
  <c r="O638" i="13"/>
  <c r="L636" i="13"/>
  <c r="O636" i="13" s="1"/>
  <c r="L9" i="16"/>
  <c r="O11" i="16"/>
  <c r="O638" i="11"/>
  <c r="L636" i="11"/>
  <c r="O636" i="11" s="1"/>
  <c r="O9" i="21"/>
  <c r="N8" i="6"/>
  <c r="O29" i="15"/>
  <c r="L28" i="15"/>
  <c r="O28" i="15" s="1"/>
  <c r="M118" i="1"/>
  <c r="O120" i="9"/>
  <c r="L118" i="9"/>
  <c r="O118" i="9" s="1"/>
  <c r="O29" i="12"/>
  <c r="L28" i="12"/>
  <c r="O28" i="12" s="1"/>
  <c r="M10" i="4"/>
  <c r="P10" i="4" s="1"/>
  <c r="P12" i="4"/>
  <c r="P273" i="1"/>
  <c r="P20" i="3"/>
  <c r="M18" i="3"/>
  <c r="P18" i="3" s="1"/>
  <c r="P9" i="12"/>
  <c r="P250" i="3"/>
  <c r="P26" i="5"/>
  <c r="M16" i="5"/>
  <c r="P16" i="5" s="1"/>
  <c r="N329" i="1"/>
  <c r="L636" i="4"/>
  <c r="O636" i="4" s="1"/>
  <c r="O638" i="4"/>
  <c r="O29" i="7"/>
  <c r="L28" i="7"/>
  <c r="O28" i="7" s="1"/>
  <c r="P20" i="7"/>
  <c r="M18" i="15"/>
  <c r="P18" i="15" s="1"/>
  <c r="P9" i="4"/>
  <c r="P9" i="10"/>
  <c r="M18" i="7"/>
  <c r="P18" i="7" s="1"/>
  <c r="L28" i="18"/>
  <c r="O28" i="18" s="1"/>
  <c r="O142" i="2"/>
  <c r="L142" i="1"/>
  <c r="O142" i="1" s="1"/>
  <c r="L140" i="2"/>
  <c r="P220" i="2"/>
  <c r="M220" i="1"/>
  <c r="L28" i="17"/>
  <c r="O28" i="17" s="1"/>
  <c r="O41" i="18"/>
  <c r="O9" i="15"/>
  <c r="O638" i="12"/>
  <c r="L636" i="12"/>
  <c r="O636" i="12" s="1"/>
  <c r="L273" i="1"/>
  <c r="O273" i="1" s="1"/>
  <c r="O273" i="2"/>
  <c r="L271" i="2"/>
  <c r="M68" i="1"/>
  <c r="P68" i="1" s="1"/>
  <c r="L20" i="8"/>
  <c r="O22" i="8"/>
  <c r="L12" i="8"/>
  <c r="L53" i="7"/>
  <c r="O53" i="7" s="1"/>
  <c r="O55" i="7"/>
  <c r="L20" i="7"/>
  <c r="O22" i="7"/>
  <c r="L12" i="7"/>
  <c r="O43" i="10"/>
  <c r="L41" i="10"/>
  <c r="L20" i="15"/>
  <c r="L12" i="15"/>
  <c r="O22" i="15"/>
  <c r="O11" i="20"/>
  <c r="L9" i="20"/>
  <c r="P41" i="20"/>
  <c r="P312" i="1"/>
  <c r="O11" i="12"/>
  <c r="L9" i="12"/>
  <c r="L636" i="9"/>
  <c r="O636" i="9" s="1"/>
  <c r="O638" i="9"/>
  <c r="O55" i="15"/>
  <c r="L53" i="15"/>
  <c r="O53" i="15" s="1"/>
  <c r="P12" i="14"/>
  <c r="M10" i="3"/>
  <c r="P10" i="3" s="1"/>
  <c r="P12" i="3"/>
  <c r="O120" i="4"/>
  <c r="L118" i="4"/>
  <c r="O118" i="4" s="1"/>
  <c r="P9" i="11"/>
  <c r="O43" i="1"/>
  <c r="L41" i="1"/>
  <c r="O222" i="11"/>
  <c r="L220" i="11"/>
  <c r="O220" i="11" s="1"/>
  <c r="L636" i="17"/>
  <c r="O636" i="17" s="1"/>
  <c r="O638" i="17"/>
  <c r="M18" i="22"/>
  <c r="P18" i="22" s="1"/>
  <c r="P12" i="15"/>
  <c r="M10" i="15"/>
  <c r="P9" i="1"/>
  <c r="P9" i="21"/>
  <c r="M37" i="8"/>
  <c r="P37" i="8" s="1"/>
  <c r="M18" i="9"/>
  <c r="P18" i="9" s="1"/>
  <c r="M37" i="9"/>
  <c r="P37" i="9" s="1"/>
  <c r="L9" i="3"/>
  <c r="O11" i="3"/>
  <c r="M310" i="1"/>
  <c r="P310" i="1" s="1"/>
  <c r="N10" i="18"/>
  <c r="N8" i="18" s="1"/>
  <c r="P12" i="18"/>
  <c r="M20" i="21"/>
  <c r="O30" i="21"/>
  <c r="L28" i="21"/>
  <c r="O28" i="21" s="1"/>
  <c r="O20" i="13"/>
  <c r="P220" i="1" l="1"/>
  <c r="L18" i="12"/>
  <c r="O18" i="12" s="1"/>
  <c r="N8" i="1"/>
  <c r="P118" i="1"/>
  <c r="L18" i="18"/>
  <c r="O18" i="18" s="1"/>
  <c r="O20" i="4"/>
  <c r="L10" i="22"/>
  <c r="O10" i="22" s="1"/>
  <c r="O12" i="3"/>
  <c r="O20" i="20"/>
  <c r="O20" i="22"/>
  <c r="M37" i="19"/>
  <c r="P37" i="19" s="1"/>
  <c r="O20" i="21"/>
  <c r="L10" i="19"/>
  <c r="O10" i="19" s="1"/>
  <c r="P12" i="1"/>
  <c r="L28" i="1"/>
  <c r="O28" i="1" s="1"/>
  <c r="L8" i="21"/>
  <c r="O8" i="21" s="1"/>
  <c r="O12" i="20"/>
  <c r="O12" i="12"/>
  <c r="L10" i="13"/>
  <c r="O10" i="13" s="1"/>
  <c r="L37" i="13"/>
  <c r="O37" i="13" s="1"/>
  <c r="L10" i="17"/>
  <c r="O10" i="17" s="1"/>
  <c r="M37" i="22"/>
  <c r="P37" i="22" s="1"/>
  <c r="L37" i="17"/>
  <c r="O37" i="17" s="1"/>
  <c r="L37" i="19"/>
  <c r="O37" i="19" s="1"/>
  <c r="L10" i="2"/>
  <c r="O10" i="2" s="1"/>
  <c r="L37" i="16"/>
  <c r="O37" i="16" s="1"/>
  <c r="P271" i="1"/>
  <c r="M10" i="21"/>
  <c r="P10" i="21" s="1"/>
  <c r="M37" i="20"/>
  <c r="P37" i="20" s="1"/>
  <c r="M37" i="21"/>
  <c r="P37" i="21" s="1"/>
  <c r="M10" i="22"/>
  <c r="P10" i="22" s="1"/>
  <c r="M329" i="1"/>
  <c r="P329" i="1" s="1"/>
  <c r="L250" i="1"/>
  <c r="O250" i="1" s="1"/>
  <c r="P37" i="12"/>
  <c r="M10" i="10"/>
  <c r="L37" i="2"/>
  <c r="O37" i="2" s="1"/>
  <c r="P250" i="1"/>
  <c r="L18" i="2"/>
  <c r="O18" i="2" s="1"/>
  <c r="M8" i="11"/>
  <c r="P8" i="11" s="1"/>
  <c r="P37" i="16"/>
  <c r="L37" i="12"/>
  <c r="O37" i="12" s="1"/>
  <c r="P10" i="8"/>
  <c r="L118" i="1"/>
  <c r="O118" i="1" s="1"/>
  <c r="L37" i="21"/>
  <c r="O37" i="21" s="1"/>
  <c r="L37" i="3"/>
  <c r="O37" i="3" s="1"/>
  <c r="P37" i="2"/>
  <c r="N37" i="1"/>
  <c r="L310" i="1"/>
  <c r="O310" i="1" s="1"/>
  <c r="M10" i="16"/>
  <c r="P10" i="16" s="1"/>
  <c r="P20" i="6"/>
  <c r="P20" i="19"/>
  <c r="M18" i="19"/>
  <c r="P18" i="19" s="1"/>
  <c r="M8" i="3"/>
  <c r="P8" i="3" s="1"/>
  <c r="P16" i="19"/>
  <c r="M10" i="19"/>
  <c r="O10" i="18"/>
  <c r="L37" i="11"/>
  <c r="O37" i="11" s="1"/>
  <c r="L37" i="14"/>
  <c r="O37" i="14" s="1"/>
  <c r="L37" i="18"/>
  <c r="O37" i="18" s="1"/>
  <c r="L66" i="1"/>
  <c r="O66" i="1" s="1"/>
  <c r="P16" i="6"/>
  <c r="M10" i="6"/>
  <c r="O9" i="2"/>
  <c r="O20" i="10"/>
  <c r="L18" i="10"/>
  <c r="O18" i="10" s="1"/>
  <c r="L37" i="4"/>
  <c r="O37" i="4" s="1"/>
  <c r="L10" i="7"/>
  <c r="O10" i="7" s="1"/>
  <c r="O12" i="7"/>
  <c r="O9" i="5"/>
  <c r="M37" i="10"/>
  <c r="P37" i="10" s="1"/>
  <c r="P41" i="10"/>
  <c r="M8" i="7"/>
  <c r="P8" i="7" s="1"/>
  <c r="M8" i="9"/>
  <c r="P8" i="9" s="1"/>
  <c r="O9" i="14"/>
  <c r="L10" i="11"/>
  <c r="O12" i="11"/>
  <c r="O20" i="9"/>
  <c r="L18" i="9"/>
  <c r="O18" i="9" s="1"/>
  <c r="L10" i="10"/>
  <c r="O12" i="10"/>
  <c r="P16" i="18"/>
  <c r="M10" i="18"/>
  <c r="O20" i="7"/>
  <c r="L18" i="7"/>
  <c r="O18" i="7" s="1"/>
  <c r="O9" i="4"/>
  <c r="L8" i="4"/>
  <c r="O8" i="4" s="1"/>
  <c r="O41" i="6"/>
  <c r="L37" i="6"/>
  <c r="O37" i="6" s="1"/>
  <c r="L20" i="1"/>
  <c r="O22" i="1"/>
  <c r="L12" i="1"/>
  <c r="O41" i="5"/>
  <c r="L37" i="5"/>
  <c r="O37" i="5" s="1"/>
  <c r="L290" i="1"/>
  <c r="O290" i="1" s="1"/>
  <c r="M8" i="20"/>
  <c r="P8" i="20" s="1"/>
  <c r="P41" i="14"/>
  <c r="M37" i="14"/>
  <c r="P37" i="14" s="1"/>
  <c r="O20" i="11"/>
  <c r="L18" i="11"/>
  <c r="O18" i="11" s="1"/>
  <c r="L37" i="22"/>
  <c r="O37" i="22" s="1"/>
  <c r="P37" i="7"/>
  <c r="O20" i="8"/>
  <c r="L18" i="8"/>
  <c r="O18" i="8" s="1"/>
  <c r="O271" i="2"/>
  <c r="L271" i="1"/>
  <c r="O271" i="1" s="1"/>
  <c r="M8" i="12"/>
  <c r="P8" i="12" s="1"/>
  <c r="O12" i="5"/>
  <c r="L10" i="5"/>
  <c r="O10" i="5" s="1"/>
  <c r="L37" i="20"/>
  <c r="O37" i="20" s="1"/>
  <c r="O20" i="5"/>
  <c r="L18" i="5"/>
  <c r="O18" i="5" s="1"/>
  <c r="O9" i="22"/>
  <c r="P20" i="18"/>
  <c r="M18" i="18"/>
  <c r="P18" i="18" s="1"/>
  <c r="O12" i="6"/>
  <c r="L10" i="6"/>
  <c r="P20" i="10"/>
  <c r="M18" i="10"/>
  <c r="P18" i="10" s="1"/>
  <c r="O20" i="16"/>
  <c r="L18" i="16"/>
  <c r="O18" i="16" s="1"/>
  <c r="P10" i="13"/>
  <c r="M8" i="13"/>
  <c r="P8" i="13" s="1"/>
  <c r="O9" i="7"/>
  <c r="L10" i="14"/>
  <c r="O10" i="14" s="1"/>
  <c r="O12" i="14"/>
  <c r="L37" i="9"/>
  <c r="O37" i="9" s="1"/>
  <c r="O41" i="9"/>
  <c r="O20" i="6"/>
  <c r="L18" i="6"/>
  <c r="O18" i="6" s="1"/>
  <c r="L10" i="16"/>
  <c r="O10" i="16" s="1"/>
  <c r="O12" i="16"/>
  <c r="O55" i="1"/>
  <c r="L53" i="1"/>
  <c r="O53" i="1" s="1"/>
  <c r="L8" i="3"/>
  <c r="O8" i="3" s="1"/>
  <c r="O9" i="3"/>
  <c r="P20" i="21"/>
  <c r="M18" i="21"/>
  <c r="P18" i="21" s="1"/>
  <c r="O9" i="12"/>
  <c r="L8" i="12"/>
  <c r="O8" i="12" s="1"/>
  <c r="O12" i="15"/>
  <c r="L10" i="15"/>
  <c r="M8" i="4"/>
  <c r="P8" i="4" s="1"/>
  <c r="O9" i="16"/>
  <c r="L37" i="15"/>
  <c r="O37" i="15" s="1"/>
  <c r="P66" i="18"/>
  <c r="M37" i="18"/>
  <c r="P37" i="18" s="1"/>
  <c r="M66" i="1"/>
  <c r="P66" i="1" s="1"/>
  <c r="O94" i="2"/>
  <c r="L94" i="1"/>
  <c r="O94" i="1" s="1"/>
  <c r="P37" i="3"/>
  <c r="M10" i="5"/>
  <c r="P20" i="2"/>
  <c r="M18" i="2"/>
  <c r="P18" i="2" s="1"/>
  <c r="O53" i="8"/>
  <c r="L37" i="8"/>
  <c r="O37" i="8" s="1"/>
  <c r="P10" i="17"/>
  <c r="M8" i="17"/>
  <c r="P8" i="17" s="1"/>
  <c r="M8" i="8"/>
  <c r="P8" i="8" s="1"/>
  <c r="O220" i="3"/>
  <c r="L220" i="1"/>
  <c r="O220" i="1" s="1"/>
  <c r="O41" i="7"/>
  <c r="L37" i="7"/>
  <c r="O37" i="7" s="1"/>
  <c r="O9" i="20"/>
  <c r="L8" i="20"/>
  <c r="O8" i="20" s="1"/>
  <c r="L329" i="1"/>
  <c r="O329" i="1" s="1"/>
  <c r="P94" i="2"/>
  <c r="M94" i="1"/>
  <c r="P94" i="1" s="1"/>
  <c r="O140" i="2"/>
  <c r="L140" i="1"/>
  <c r="O140" i="1" s="1"/>
  <c r="P10" i="15"/>
  <c r="M8" i="15"/>
  <c r="P8" i="15" s="1"/>
  <c r="O20" i="15"/>
  <c r="L18" i="15"/>
  <c r="O18" i="15" s="1"/>
  <c r="O12" i="8"/>
  <c r="L10" i="8"/>
  <c r="O41" i="1"/>
  <c r="M10" i="14"/>
  <c r="O41" i="10"/>
  <c r="L37" i="10"/>
  <c r="O37" i="10" s="1"/>
  <c r="O20" i="14"/>
  <c r="L18" i="14"/>
  <c r="O18" i="14" s="1"/>
  <c r="P26" i="1"/>
  <c r="M16" i="1"/>
  <c r="M20" i="1"/>
  <c r="P16" i="2"/>
  <c r="M10" i="2"/>
  <c r="L8" i="18"/>
  <c r="O8" i="18" s="1"/>
  <c r="P41" i="1"/>
  <c r="O12" i="9"/>
  <c r="L10" i="9"/>
  <c r="L8" i="22" l="1"/>
  <c r="O8" i="22" s="1"/>
  <c r="L8" i="19"/>
  <c r="O8" i="19" s="1"/>
  <c r="L8" i="13"/>
  <c r="O8" i="13" s="1"/>
  <c r="L8" i="17"/>
  <c r="O8" i="17" s="1"/>
  <c r="L8" i="2"/>
  <c r="O8" i="2" s="1"/>
  <c r="M8" i="22"/>
  <c r="P8" i="22" s="1"/>
  <c r="M8" i="21"/>
  <c r="P8" i="21" s="1"/>
  <c r="L8" i="16"/>
  <c r="O8" i="16" s="1"/>
  <c r="M8" i="16"/>
  <c r="P8" i="16" s="1"/>
  <c r="P10" i="10"/>
  <c r="M8" i="10"/>
  <c r="P8" i="10" s="1"/>
  <c r="P10" i="19"/>
  <c r="M8" i="19"/>
  <c r="P8" i="19" s="1"/>
  <c r="M8" i="6"/>
  <c r="P8" i="6" s="1"/>
  <c r="P10" i="6"/>
  <c r="P10" i="14"/>
  <c r="M8" i="14"/>
  <c r="P8" i="14" s="1"/>
  <c r="O12" i="1"/>
  <c r="L10" i="1"/>
  <c r="O10" i="11"/>
  <c r="L8" i="11"/>
  <c r="O8" i="11" s="1"/>
  <c r="P20" i="1"/>
  <c r="M18" i="1"/>
  <c r="P18" i="1" s="1"/>
  <c r="L37" i="1"/>
  <c r="O37" i="1" s="1"/>
  <c r="P10" i="18"/>
  <c r="M8" i="18"/>
  <c r="P8" i="18" s="1"/>
  <c r="L8" i="14"/>
  <c r="O8" i="14" s="1"/>
  <c r="O10" i="8"/>
  <c r="L8" i="8"/>
  <c r="O8" i="8" s="1"/>
  <c r="P10" i="5"/>
  <c r="M8" i="5"/>
  <c r="P8" i="5" s="1"/>
  <c r="O10" i="10"/>
  <c r="L8" i="10"/>
  <c r="O8" i="10" s="1"/>
  <c r="L8" i="7"/>
  <c r="O8" i="7" s="1"/>
  <c r="O10" i="6"/>
  <c r="L8" i="6"/>
  <c r="O8" i="6" s="1"/>
  <c r="P16" i="1"/>
  <c r="M10" i="1"/>
  <c r="M37" i="1"/>
  <c r="P37" i="1" s="1"/>
  <c r="O20" i="1"/>
  <c r="L18" i="1"/>
  <c r="O18" i="1" s="1"/>
  <c r="P10" i="2"/>
  <c r="M8" i="2"/>
  <c r="P8" i="2" s="1"/>
  <c r="O10" i="9"/>
  <c r="L8" i="9"/>
  <c r="O8" i="9" s="1"/>
  <c r="O10" i="15"/>
  <c r="L8" i="15"/>
  <c r="O8" i="15" s="1"/>
  <c r="L8" i="5"/>
  <c r="O8" i="5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<sst xmlns="http://schemas.openxmlformats.org/spreadsheetml/2006/main" count="28952" uniqueCount="303">
  <si>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</si>
  <si>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</si>
  <si>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</si>
  <si>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</si>
  <si>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</si>
  <si>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</si>
  <si>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</si>
  <si>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</si>
  <si>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</si>
  <si>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</si>
  <si>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</si>
  <si>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</si>
  <si>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</si>
  <si>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</si>
  <si>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</si>
  <si>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</si>
  <si>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</si>
  <si>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</si>
  <si>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</si>
  <si>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</si>
  <si>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</si>
  <si>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</si>
  <si>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</si>
  <si>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</si>
  <si>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</si>
  <si>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</si>
  <si>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</si>
  <si>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</si>
  <si>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</si>
  <si>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</si>
  <si>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</si>
  <si>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</si>
  <si>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</si>
  <si>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</si>
  <si>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</si>
  <si>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</si>
  <si>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</si>
  <si>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</si>
  <si>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</si>
  <si>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</si>
  <si>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</si>
  <si>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</si>
  <si>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</si>
  <si>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</si>
  <si>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</si>
  <si>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</si>
  <si>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</si>
  <si>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</si>
  <si>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</si>
  <si>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</si>
  <si>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</si>
  <si>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</si>
  <si>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</si>
  <si>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</si>
  <si>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</si>
  <si>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</si>
  <si>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</si>
  <si>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</si>
  <si>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</si>
  <si>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</si>
  <si>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</si>
  <si>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</si>
  <si>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</si>
  <si>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</si>
  <si>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</si>
  <si>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</si>
  <si>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</si>
  <si>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</si>
  <si>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</si>
  <si>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</si>
  <si>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</si>
  <si>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</si>
  <si>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</si>
  <si>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</si>
  <si>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</si>
  <si>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</si>
  <si>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</si>
  <si>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</si>
  <si>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</si>
  <si>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</si>
  <si>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</si>
  <si>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</si>
  <si>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</si>
  <si>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</si>
  <si>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</si>
  <si>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</si>
  <si>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</si>
  <si>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</si>
  <si>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</si>
  <si>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</si>
  <si>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</si>
  <si>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</si>
  <si>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</si>
  <si>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</si>
  <si>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</si>
  <si>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</si>
  <si>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</si>
  <si>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</si>
  <si>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</si>
  <si>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</si>
  <si>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</si>
  <si>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</si>
  <si>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</si>
  <si>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</si>
  <si>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</si>
  <si>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</si>
  <si>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</si>
  <si>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</si>
  <si>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</si>
  <si>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</si>
  <si>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</si>
  <si>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</si>
  <si>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</si>
  <si>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</si>
  <si>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</si>
  <si>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</si>
  <si>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</si>
  <si>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</si>
  <si>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</si>
  <si>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</si>
  <si>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</si>
  <si>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</si>
  <si>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</si>
  <si>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</si>
  <si>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</si>
  <si>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</si>
  <si>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</si>
  <si>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</si>
  <si>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</si>
  <si>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</si>
  <si>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</si>
  <si>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</si>
  <si>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</si>
  <si>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</si>
  <si>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</si>
  <si>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</si>
  <si>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</si>
  <si>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</si>
  <si>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</si>
  <si>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</si>
  <si>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</si>
  <si>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</si>
  <si>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</si>
  <si>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</si>
  <si>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</si>
  <si>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</si>
  <si>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</si>
  <si>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</si>
  <si>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</si>
  <si>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</si>
  <si>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</si>
  <si>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</si>
  <si>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</si>
  <si>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</si>
  <si>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</si>
  <si>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</si>
  <si>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</si>
  <si>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</si>
  <si>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</si>
  <si>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</si>
  <si>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</si>
  <si>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</si>
  <si>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</si>
  <si>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</si>
  <si>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</si>
  <si>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</si>
  <si>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</si>
  <si>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</si>
  <si>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</si>
  <si>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</si>
  <si>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</si>
  <si>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</si>
  <si>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</si>
  <si>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</si>
  <si>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</si>
  <si>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</si>
  <si>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</si>
  <si>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</si>
  <si>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</si>
  <si>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</si>
  <si>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</si>
  <si>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</si>
  <si>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</si>
  <si>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</si>
  <si>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</si>
  <si>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</si>
  <si>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</si>
  <si>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</si>
  <si>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</si>
  <si>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</si>
  <si>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</si>
  <si>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</si>
  <si>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</si>
  <si>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</si>
  <si>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</si>
  <si>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</si>
  <si>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</si>
  <si>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</si>
  <si>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</si>
  <si>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</si>
  <si>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</si>
  <si>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</si>
  <si>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</si>
  <si>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</si>
  <si>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</si>
  <si>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</si>
  <si>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</si>
  <si>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</si>
  <si>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</si>
  <si>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</si>
  <si>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</si>
  <si>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</si>
  <si>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</si>
  <si>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</si>
  <si>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</si>
  <si>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</si>
  <si>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</si>
  <si>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</si>
  <si>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</si>
  <si>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</si>
  <si>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</si>
  <si>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</si>
  <si>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</si>
  <si>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</si>
  <si>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</si>
  <si>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</si>
  <si>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</si>
  <si>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</si>
  <si>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</si>
  <si>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</si>
  <si>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</si>
  <si>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</si>
  <si>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</si>
  <si>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</si>
  <si>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</si>
  <si>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</si>
  <si>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</si>
  <si>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</si>
  <si>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</si>
  <si>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</si>
  <si>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</si>
  <si>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</si>
  <si>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</si>
  <si>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</si>
  <si>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</si>
  <si>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</si>
  <si>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</si>
  <si>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</si>
  <si>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</si>
  <si>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</si>
  <si>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</si>
  <si>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</si>
  <si>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</si>
  <si>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</si>
  <si>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</si>
  <si>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</si>
  <si>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</si>
  <si>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</si>
  <si>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</si>
  <si>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</si>
  <si>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</si>
  <si>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</si>
  <si>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</si>
  <si>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</si>
  <si>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</si>
  <si>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</si>
  <si>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</si>
  <si>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</si>
  <si>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</si>
  <si>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</si>
  <si>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</si>
  <si>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</si>
  <si>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</si>
  <si>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</si>
  <si>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</si>
  <si>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</si>
  <si>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</si>
  <si>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</si>
  <si>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</si>
  <si>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</si>
  <si>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</si>
  <si>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</si>
  <si>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</si>
  <si>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</si>
  <si>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</si>
  <si>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</si>
  <si>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</si>
  <si>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</si>
  <si>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</si>
  <si>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</si>
  <si>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</si>
  <si>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</si>
  <si>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</si>
  <si>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</si>
  <si>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</si>
  <si>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</si>
  <si>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</si>
  <si>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</si>
  <si>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</si>
  <si>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</si>
  <si>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</si>
  <si>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</si>
  <si>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พฤษภาคม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</si>
</sst>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1" fontId="18" fillId="6" borderId="19" xfId="0" applyNumberFormat="1" applyFont="1" applyFill="1" applyBorder="1" applyAlignment="1">
      <alignment horizontal="right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7.5703125" bestFit="1" customWidth="1"/>
    <col min="10" max="10" width="15.85546875" customWidth="1"/>
    <col min="11" max="11" width="10.71093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1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ca="1">L9+L10</f>
        <v>94307269</v>
      </c>
      <c r="M8" s="23">
        <f ca="1">M9+M10</f>
        <v>55547100.039999999</v>
      </c>
      <c r="N8" s="23">
        <f ca="1">N9+N10</f>
        <v>55060299.68</v>
      </c>
      <c r="O8" s="22">
        <f t="shared" ref="O8:O16" ca="1" si="0">IF(L8&gt;0,N8*100/L8,0)</f>
        <v>58.383940351405997</v>
      </c>
      <c r="P8" s="22">
        <f t="shared" ref="P8:P16" ca="1" si="1">IF(M8&gt;0,N8*100/M8,0)</f>
        <v>99.12362596850339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94307269</v>
      </c>
      <c r="M10" s="30">
        <f t="shared" ca="1" si="2"/>
        <v>55547100.039999999</v>
      </c>
      <c r="N10" s="30">
        <f t="shared" ca="1" si="2"/>
        <v>55060299.68</v>
      </c>
      <c r="O10" s="29">
        <f t="shared" ca="1" si="0"/>
        <v>58.383940351405997</v>
      </c>
      <c r="P10" s="29">
        <f t="shared" ca="1" si="1"/>
        <v>99.12362596850339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83562819</v>
      </c>
      <c r="M12" s="38">
        <f t="shared" ca="1" si="3"/>
        <v>44802650.039999999</v>
      </c>
      <c r="N12" s="38">
        <f t="shared" ca="1" si="3"/>
        <v>45127849.68</v>
      </c>
      <c r="O12" s="38">
        <f t="shared" ca="1" si="0"/>
        <v>54.004699961115485</v>
      </c>
      <c r="P12" s="38">
        <f t="shared" ca="1" si="1"/>
        <v>100.72584911765188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46892319</v>
      </c>
      <c r="M14" s="38">
        <f t="shared" si="3"/>
        <v>0</v>
      </c>
      <c r="N14" s="38">
        <f t="shared" ca="1" si="3"/>
        <v>11657176.019999998</v>
      </c>
      <c r="O14" s="38">
        <f t="shared" ca="1" si="0"/>
        <v>24.85945730259149</v>
      </c>
      <c r="P14" s="38">
        <f t="shared" si="1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10744450</v>
      </c>
      <c r="M16" s="38">
        <f t="shared" ca="1" si="3"/>
        <v>10744450</v>
      </c>
      <c r="N16" s="38">
        <f t="shared" ca="1" si="3"/>
        <v>9932450</v>
      </c>
      <c r="O16" s="49">
        <f t="shared" ca="1" si="0"/>
        <v>92.442609905579161</v>
      </c>
      <c r="P16" s="49">
        <f t="shared" ca="1" si="1"/>
        <v>92.442609905579161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ca="1">L19+L20</f>
        <v>66521850</v>
      </c>
      <c r="M18" s="23">
        <f ca="1">M19+M20</f>
        <v>55547100.039999999</v>
      </c>
      <c r="N18" s="23">
        <f ca="1">N19+N20</f>
        <v>43403123.660000004</v>
      </c>
      <c r="O18" s="22">
        <f t="shared" ref="O18:O26" ca="1" si="4">IF(L18&gt;0,N18*100/L18,0)</f>
        <v>65.246417019370327</v>
      </c>
      <c r="P18" s="22">
        <f t="shared" ref="P18:P26" ca="1" si="5">IF(M18&gt;0,N18*100/M18,0)</f>
        <v>78.13751506153335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66521850</v>
      </c>
      <c r="M20" s="30">
        <f t="shared" ca="1" si="6"/>
        <v>55547100.039999999</v>
      </c>
      <c r="N20" s="30">
        <f t="shared" ca="1" si="6"/>
        <v>43403123.660000004</v>
      </c>
      <c r="O20" s="29">
        <f t="shared" ca="1" si="4"/>
        <v>65.246417019370327</v>
      </c>
      <c r="P20" s="29">
        <f t="shared" ca="1" si="5"/>
        <v>78.13751506153335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55777400</v>
      </c>
      <c r="M22" s="41">
        <f t="shared" ca="1" si="7"/>
        <v>44802650.039999999</v>
      </c>
      <c r="N22" s="38">
        <f t="shared" ca="1" si="7"/>
        <v>33470673.660000004</v>
      </c>
      <c r="O22" s="38">
        <f t="shared" ca="1" si="4"/>
        <v>60.007590278499904</v>
      </c>
      <c r="P22" s="38">
        <f t="shared" ca="1" si="5"/>
        <v>74.706906020329697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19106900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10744450</v>
      </c>
      <c r="M26" s="49">
        <f t="shared" ca="1" si="7"/>
        <v>10744450</v>
      </c>
      <c r="N26" s="49">
        <f t="shared" ca="1" si="7"/>
        <v>9932450</v>
      </c>
      <c r="O26" s="49">
        <f t="shared" ca="1" si="4"/>
        <v>92.442609905579161</v>
      </c>
      <c r="P26" s="49">
        <f t="shared" ca="1" si="5"/>
        <v>92.442609905579161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ca="1">L29+L30</f>
        <v>27785419</v>
      </c>
      <c r="M28" s="23">
        <f>M29+M30</f>
        <v>0</v>
      </c>
      <c r="N28" s="23">
        <f ca="1">N29+N30</f>
        <v>11657176.019999998</v>
      </c>
      <c r="O28" s="22">
        <f t="shared" ref="O28:O30" ca="1" si="8">IF(L28&gt;0,N28*100/L28,0)</f>
        <v>41.954292717342135</v>
      </c>
      <c r="P28" s="22">
        <f t="shared" ref="P28:P37" si="9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27785419</v>
      </c>
      <c r="M30" s="30">
        <f t="shared" si="10"/>
        <v>0</v>
      </c>
      <c r="N30" s="30">
        <f t="shared" ca="1" si="10"/>
        <v>11657176.019999998</v>
      </c>
      <c r="O30" s="29">
        <f t="shared" ca="1" si="8"/>
        <v>41.954292717342135</v>
      </c>
      <c r="P30" s="29">
        <f t="shared" si="9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27785419</v>
      </c>
      <c r="M32" s="38">
        <f t="shared" si="11"/>
        <v>0</v>
      </c>
      <c r="N32" s="38">
        <f t="shared" ca="1" si="11"/>
        <v>11657176.019999998</v>
      </c>
      <c r="O32" s="38">
        <f t="shared" ca="1" si="12"/>
        <v>41.954292717342135</v>
      </c>
      <c r="P32" s="38">
        <f t="shared" si="9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27785419</v>
      </c>
      <c r="M34" s="38">
        <f t="shared" si="11"/>
        <v>0</v>
      </c>
      <c r="N34" s="38">
        <f t="shared" ca="1" si="11"/>
        <v>11657176.019999998</v>
      </c>
      <c r="O34" s="38">
        <f t="shared" ca="1" si="12"/>
        <v>41.954292717342135</v>
      </c>
      <c r="P34" s="38">
        <f t="shared" si="9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66521850</v>
      </c>
      <c r="M37" s="54">
        <f t="shared" ca="1" si="13"/>
        <v>55547100.039999999</v>
      </c>
      <c r="N37" s="54">
        <f t="shared" ca="1" si="13"/>
        <v>43403123.660000004</v>
      </c>
      <c r="O37" s="55">
        <f t="shared" ca="1" si="12"/>
        <v>65.246417019370327</v>
      </c>
      <c r="P37" s="55">
        <f t="shared" ca="1" si="9"/>
        <v>78.13751506153335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ca="1">L42+L43</f>
        <v>16277300</v>
      </c>
      <c r="M41" s="78">
        <f ca="1">M42+M43</f>
        <v>13097165</v>
      </c>
      <c r="N41" s="78">
        <f ca="1">N42+N43</f>
        <v>11135250.710000001</v>
      </c>
      <c r="O41" s="77">
        <f t="shared" ref="O41:O43" ca="1" si="14">IF(L41&gt;0,N41*100/L41,0)</f>
        <v>68.409691472172909</v>
      </c>
      <c r="P41" s="77">
        <f t="shared" ref="P41:P43" ca="1" si="15">IF(M41&gt;0,N41*100/M41,0)</f>
        <v>85.020313250997447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16277300</v>
      </c>
      <c r="M43" s="78">
        <f t="shared" ca="1" si="16"/>
        <v>13097165</v>
      </c>
      <c r="N43" s="78">
        <f t="shared" ca="1" si="16"/>
        <v>11135250.710000001</v>
      </c>
      <c r="O43" s="77">
        <f t="shared" ca="1" si="14"/>
        <v>68.409691472172909</v>
      </c>
      <c r="P43" s="77">
        <f t="shared" ca="1" si="15"/>
        <v>85.020313250997447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10683565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8733650.7100000009</v>
      </c>
      <c r="O45" s="38">
        <f ca="1">IF(L45&gt;0,N45*100/L45,0)</f>
        <v>62.99653562901679</v>
      </c>
      <c r="P45" s="38">
        <f ca="1">IF(M45&gt;0,N45*100/M45,0)</f>
        <v>81.748467950538995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2413600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2413600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2401600</v>
      </c>
      <c r="O49" s="49">
        <f ca="1">IF(L49&gt;0,N49*100/L49,0)</f>
        <v>99.502817368246596</v>
      </c>
      <c r="P49" s="49">
        <f ca="1">IF(M49&gt;0,N49*100/M49,0)</f>
        <v>99.502817368246596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6608755.0399999991</v>
      </c>
      <c r="N53" s="121">
        <f t="shared" ca="1" si="17"/>
        <v>5453403.9300000006</v>
      </c>
      <c r="O53" s="120">
        <f t="shared" ref="O53:O55" ca="1" si="18">IF(L53&gt;0,N53*100/L53,0)</f>
        <v>67.611444989957619</v>
      </c>
      <c r="P53" s="120">
        <f t="shared" ref="P53:P55" ca="1" si="19">IF(M53&gt;0,N53*100/M53,0)</f>
        <v>82.517870567041044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6608755.0399999991</v>
      </c>
      <c r="N55" s="121">
        <f t="shared" ca="1" si="21"/>
        <v>5453403.9300000006</v>
      </c>
      <c r="O55" s="120">
        <f t="shared" ca="1" si="18"/>
        <v>67.611444989957619</v>
      </c>
      <c r="P55" s="120">
        <f t="shared" ca="1" si="19"/>
        <v>82.517870567041044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6608755.0399999991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5453403.9300000006</v>
      </c>
      <c r="O57" s="38">
        <f ca="1">IF(L57&gt;0,N57*100/L57,0)</f>
        <v>67.611444989957619</v>
      </c>
      <c r="P57" s="38">
        <f ca="1">IF(M57&gt;0,N57*100/M57,0)</f>
        <v>82.517870567041044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11529200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10723180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8674811.129999999</v>
      </c>
      <c r="O66" s="151">
        <f t="shared" ref="O66:O68" ca="1" si="23">IF(L66&gt;0,N66*100/L66,0)</f>
        <v>75.242090778197962</v>
      </c>
      <c r="P66" s="151">
        <f t="shared" ref="P66:P68" ca="1" si="24">IF(M66&gt;0,N66*100/M66,0)</f>
        <v>80.897747962824454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11529200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10723180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8674811.129999999</v>
      </c>
      <c r="O68" s="156">
        <f t="shared" ca="1" si="23"/>
        <v>75.242090778197962</v>
      </c>
      <c r="P68" s="156">
        <f t="shared" ca="1" si="24"/>
        <v>80.897747962824454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4462080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3213711.13</v>
      </c>
      <c r="O70" s="169">
        <f ca="1">IF(L70&gt;0,N70*100/L70,0)</f>
        <v>61.003229437558133</v>
      </c>
      <c r="P70" s="169">
        <f ca="1">IF(M70&gt;0,N70*100/M70,0)</f>
        <v>72.022714294678721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6261100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6261100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87.222692498123337</v>
      </c>
      <c r="P74" s="49">
        <f ca="1">IF(M74&gt;0,N74*100/M74,0)</f>
        <v>87.222692498123337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150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100</v>
      </c>
      <c r="K88" s="163">
        <f t="shared" ca="1" si="25"/>
        <v>66.666666666666671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22</v>
      </c>
      <c r="K92" s="143">
        <f t="shared" ref="K92:K93" ca="1" si="26">IF(I92&gt;0,J92*100/I92,0)</f>
        <v>75.862068965517238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6</v>
      </c>
      <c r="K93" s="143">
        <f t="shared" ca="1" si="26"/>
        <v>75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1372630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1055147.3599999999</v>
      </c>
      <c r="O94" s="151">
        <f t="shared" ref="O94:O96" ca="1" si="27">IF(L94&gt;0,N94*100/L94,0)</f>
        <v>70.637953057426316</v>
      </c>
      <c r="P94" s="151">
        <f t="shared" ref="P94:P96" ca="1" si="28">IF(M94&gt;0,N94*100/M94,0)</f>
        <v>76.870486584148665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1372630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1055147.3599999999</v>
      </c>
      <c r="O96" s="156">
        <f t="shared" ca="1" si="27"/>
        <v>70.637953057426316</v>
      </c>
      <c r="P96" s="156">
        <f t="shared" ca="1" si="28"/>
        <v>76.870486584148665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633430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315947.36</v>
      </c>
      <c r="O98" s="169">
        <f ca="1">IF(L98&gt;0,N98*100/L98,0)</f>
        <v>41.872844382007578</v>
      </c>
      <c r="P98" s="169">
        <f ca="1">IF(M98&gt;0,N98*100/M98,0)</f>
        <v>49.878812181298642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6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6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5</v>
      </c>
      <c r="K108" s="224">
        <f t="shared" ref="K108:K113" ca="1" si="29">IF(I108&gt;0,J108*100/I108,0)</f>
        <v>83.333333333333329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22</v>
      </c>
      <c r="K109" s="224">
        <f t="shared" ca="1" si="29"/>
        <v>75.862068965517238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4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22</v>
      </c>
      <c r="K111" s="224">
        <f t="shared" ca="1" si="29"/>
        <v>75.862068965517238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4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6</v>
      </c>
      <c r="K113" s="224">
        <f t="shared" ca="1" si="29"/>
        <v>75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441990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271645</v>
      </c>
      <c r="O118" s="151">
        <f t="shared" ref="O118:O120" ca="1" si="30">IF(L118&gt;0,N118*100/L118,0)</f>
        <v>61.459535283603699</v>
      </c>
      <c r="P118" s="151">
        <f t="shared" ref="P118:P120" ca="1" si="31">IF(M118&gt;0,N118*100/M118,0)</f>
        <v>61.459535283603699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441990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271645</v>
      </c>
      <c r="O120" s="156">
        <f t="shared" ca="1" si="30"/>
        <v>61.459535283603699</v>
      </c>
      <c r="P120" s="156">
        <f t="shared" ca="1" si="31"/>
        <v>61.459535283603699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441990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271645</v>
      </c>
      <c r="O122" s="169">
        <f ca="1">IF(L122&gt;0,N122*100/L122,0)</f>
        <v>61.459535283603699</v>
      </c>
      <c r="P122" s="169">
        <f ca="1">IF(M122&gt;0,N122*100/M122,0)</f>
        <v>61.459535283603699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68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6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6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4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4">
        <f t="shared" ca="1" si="32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2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7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5808045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4062060.5800000005</v>
      </c>
      <c r="O140" s="151">
        <f t="shared" ref="O140:O142" ca="1" si="33">IF(L140&gt;0,N140*100/L140,0)</f>
        <v>59.593336267476502</v>
      </c>
      <c r="P140" s="151">
        <f t="shared" ref="P140:P142" ca="1" si="34">IF(M140&gt;0,N140*100/M140,0)</f>
        <v>69.938517693991713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5808045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4062060.5800000005</v>
      </c>
      <c r="O142" s="156">
        <f t="shared" ca="1" si="33"/>
        <v>59.593336267476502</v>
      </c>
      <c r="P142" s="156">
        <f t="shared" ca="1" si="34"/>
        <v>69.938517693991713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5808045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4062060.5800000005</v>
      </c>
      <c r="O144" s="169">
        <f ca="1">IF(L144&gt;0,N144*100/L144,0)</f>
        <v>59.593336267476502</v>
      </c>
      <c r="P144" s="169">
        <f ca="1">IF(M144&gt;0,N144*100/M144,0)</f>
        <v>69.938517693991713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5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40</v>
      </c>
      <c r="K149" s="276">
        <f ca="1">IF(I149&gt;0,J149*100/I149,0)</f>
        <v>47.61904761904762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21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21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21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40</v>
      </c>
      <c r="K158" s="163">
        <f ca="1">IF(I158&gt;0,J158*100/I158,0)</f>
        <v>47.61904761904762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1341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1340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4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43</v>
      </c>
      <c r="K164" s="285">
        <f ca="1">IF(I164&gt;0,J164*100/I164,0)</f>
        <v>86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17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17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17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43</v>
      </c>
      <c r="K173" s="163">
        <f ca="1">IF(I173&gt;0,J173*100/I173,0)</f>
        <v>86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2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4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4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5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5</v>
      </c>
      <c r="K185" s="224">
        <f t="shared" ref="K185:K186" ca="1" si="35">IF(I185&gt;0,J185*100/I185,0)</f>
        <v>29.411764705882351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4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4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4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17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13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11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76000</v>
      </c>
      <c r="K199" s="163">
        <f t="shared" ref="K199:K201" ca="1" si="36">IF(I199&gt;0,J199*100/I199,0)</f>
        <v>16.851441241685144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0</v>
      </c>
      <c r="K200" s="163">
        <f t="shared" ca="1" si="36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4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11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40</v>
      </c>
      <c r="K215" s="224">
        <f t="shared" ref="K215:K216" ca="1" si="37">IF(I215&gt;0,J215*100/I215,0)</f>
        <v>33.333333333333336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1</v>
      </c>
      <c r="K216" s="224">
        <f t="shared" ca="1" si="37"/>
        <v>10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7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364927.6</v>
      </c>
      <c r="O220" s="151">
        <f t="shared" ref="O220:O222" ca="1" si="38">IF(L220&gt;0,N220*100/L220,0)</f>
        <v>99.31624210755497</v>
      </c>
      <c r="P220" s="151">
        <f t="shared" ref="P220:P222" ca="1" si="39">IF(M220&gt;0,N220*100/M220,0)</f>
        <v>99.31624210755497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364927.6</v>
      </c>
      <c r="O222" s="156">
        <f t="shared" ca="1" si="38"/>
        <v>99.31624210755497</v>
      </c>
      <c r="P222" s="156">
        <f t="shared" ca="1" si="39"/>
        <v>99.31624210755497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364927.6</v>
      </c>
      <c r="O224" s="169">
        <f ca="1">IF(L224&gt;0,N224*100/L224,0)</f>
        <v>99.31624210755497</v>
      </c>
      <c r="P224" s="169">
        <f ca="1">IF(M224&gt;0,N224*100/M224,0)</f>
        <v>99.31624210755497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7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13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13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13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2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5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7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6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900900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596892</v>
      </c>
      <c r="O250" s="151">
        <f t="shared" ref="O250:O252" ca="1" si="40">IF(L250&gt;0,N250*100/L250,0)</f>
        <v>52.547935557707547</v>
      </c>
      <c r="P250" s="151">
        <f t="shared" ref="P250:P252" ca="1" si="41">IF(M250&gt;0,N250*100/M250,0)</f>
        <v>66.25507825507826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900900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596892</v>
      </c>
      <c r="O252" s="156">
        <f t="shared" ca="1" si="40"/>
        <v>52.547935557707547</v>
      </c>
      <c r="P252" s="156">
        <f t="shared" ca="1" si="41"/>
        <v>66.25507825507826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900900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596892</v>
      </c>
      <c r="O254" s="169">
        <f ca="1">IF(L254&gt;0,N254*100/L254,0)</f>
        <v>52.547935557707547</v>
      </c>
      <c r="P254" s="169">
        <f ca="1">IF(M254&gt;0,N254*100/M254,0)</f>
        <v>66.25507825507826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9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20</v>
      </c>
      <c r="K266" s="163">
        <f t="shared" ca="1" si="42"/>
        <v>10.256410256410257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7</v>
      </c>
      <c r="K267" s="163">
        <f t="shared" ca="1" si="42"/>
        <v>77.777777777777771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6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935650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673490.88</v>
      </c>
      <c r="O271" s="151">
        <f t="shared" ref="O271:O273" ca="1" si="43">IF(L271&gt;0,N271*100/L271,0)</f>
        <v>53.160539900544634</v>
      </c>
      <c r="P271" s="151">
        <f t="shared" ref="P271:P273" ca="1" si="44">IF(M271&gt;0,N271*100/M271,0)</f>
        <v>71.981069844493135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935650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673490.88</v>
      </c>
      <c r="O273" s="156">
        <f t="shared" ca="1" si="43"/>
        <v>53.160539900544634</v>
      </c>
      <c r="P273" s="156">
        <f t="shared" ca="1" si="44"/>
        <v>71.981069844493135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935650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673490.88</v>
      </c>
      <c r="O275" s="169">
        <f ca="1">IF(L275&gt;0,N275*100/L275,0)</f>
        <v>53.160539900544634</v>
      </c>
      <c r="P275" s="169">
        <f ca="1">IF(M275&gt;0,N275*100/M275,0)</f>
        <v>71.981069844493135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13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13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13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6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437820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315100</v>
      </c>
      <c r="O290" s="151">
        <f t="shared" ref="O290:O292" ca="1" si="45">IF(L290&gt;0,N290*100/L290,0)</f>
        <v>71.970216070531265</v>
      </c>
      <c r="P290" s="151">
        <f t="shared" ref="P290:P292" ca="1" si="46">IF(M290&gt;0,N290*100/M290,0)</f>
        <v>71.970216070531265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437820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315100</v>
      </c>
      <c r="O292" s="156">
        <f t="shared" ca="1" si="45"/>
        <v>71.970216070531265</v>
      </c>
      <c r="P292" s="156">
        <f t="shared" ca="1" si="46"/>
        <v>71.970216070531265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315320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192600</v>
      </c>
      <c r="O294" s="169">
        <f ca="1">IF(L294&gt;0,N294*100/L294,0)</f>
        <v>61.080806799441838</v>
      </c>
      <c r="P294" s="169">
        <f ca="1">IF(M294&gt;0,N294*100/M294,0)</f>
        <v>61.080806799441838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3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10</v>
      </c>
      <c r="K309" s="334">
        <f ca="1">IF(I309&gt;0,J309*100/I309,0)</f>
        <v>66.666666666666671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764900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370767</v>
      </c>
      <c r="O310" s="151">
        <f t="shared" ref="O310:O312" ca="1" si="47">IF(L310&gt;0,N310*100/L310,0)</f>
        <v>36.356834673465386</v>
      </c>
      <c r="P310" s="151">
        <f t="shared" ref="P310:P312" ca="1" si="48">IF(M310&gt;0,N310*100/M310,0)</f>
        <v>48.472610798797227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764900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370767</v>
      </c>
      <c r="O312" s="156">
        <f t="shared" ca="1" si="47"/>
        <v>36.356834673465386</v>
      </c>
      <c r="P312" s="156">
        <f t="shared" ca="1" si="48"/>
        <v>48.472610798797227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764900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370767</v>
      </c>
      <c r="O314" s="169">
        <f ca="1">IF(L314&gt;0,N314*100/L314,0)</f>
        <v>36.356834673465386</v>
      </c>
      <c r="P314" s="169">
        <f ca="1">IF(M314&gt;0,N314*100/M314,0)</f>
        <v>48.472610798797227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3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3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10</v>
      </c>
      <c r="K324" s="224">
        <f ca="1">IF(I324&gt;0,J324*100/I324,0)</f>
        <v>66.666666666666671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39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1811</v>
      </c>
      <c r="K328" s="317">
        <f ca="1">IF(I328&gt;0,J328*100/I328,0)</f>
        <v>53.280376581347454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17669660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14088625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10429627.470000001</v>
      </c>
      <c r="O329" s="151">
        <f t="shared" ref="O329:O331" ca="1" si="49">IF(L329&gt;0,N329*100/L329,0)</f>
        <v>59.025626242949784</v>
      </c>
      <c r="P329" s="151">
        <f t="shared" ref="P329:P331" ca="1" si="50">IF(M329&gt;0,N329*100/M329,0)</f>
        <v>74.028710892652768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17669660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14088625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10429627.470000001</v>
      </c>
      <c r="O331" s="156">
        <f t="shared" ca="1" si="49"/>
        <v>59.025626242949784</v>
      </c>
      <c r="P331" s="156">
        <f t="shared" ca="1" si="50"/>
        <v>74.028710892652768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16461610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12880575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9221577.4700000007</v>
      </c>
      <c r="O333" s="169">
        <f ca="1">IF(L333&gt;0,N333*100/L333,0)</f>
        <v>56.018685110387146</v>
      </c>
      <c r="P333" s="169">
        <f ca="1">IF(M333&gt;0,N333*100/M333,0)</f>
        <v>71.59290225785729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6821310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2015</v>
      </c>
      <c r="K339" s="342">
        <f t="shared" ref="K339:K346" ca="1" si="51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34650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21911.25</v>
      </c>
      <c r="K340" s="342">
        <f t="shared" ca="1" si="51"/>
        <v>63.235930735930737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2200</v>
      </c>
      <c r="K341" s="342">
        <f t="shared" ca="1" si="51"/>
        <v>64.724919093851128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29648.099999999991</v>
      </c>
      <c r="K342" s="342">
        <f t="shared" ca="1" si="51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42</v>
      </c>
      <c r="K343" s="342">
        <f t="shared" ca="1" si="51"/>
        <v>1.235657546337158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451.42999999999995</v>
      </c>
      <c r="K344" s="342">
        <f t="shared" ca="1" si="51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1811</v>
      </c>
      <c r="K345" s="342">
        <f t="shared" ca="1" si="51"/>
        <v>53.280376581347454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25035.589999999989</v>
      </c>
      <c r="K346" s="351">
        <f t="shared" ca="1" si="51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27785419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11657176.02</v>
      </c>
      <c r="O347" s="358">
        <f ca="1">+IF(L347&gt;0,N347*100/L347,0)</f>
        <v>41.954292717342142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187</v>
      </c>
      <c r="K349" s="372">
        <f t="shared" ref="K349:K350" ca="1" si="52">IF(I349&gt;0,J349*100/I349,0)</f>
        <v>29.495268138801261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1089401.9300000002</v>
      </c>
      <c r="O349" s="373">
        <f ca="1">+IF(L349&gt;0,N349*100/L349,0)</f>
        <v>48.989626934803539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272</v>
      </c>
      <c r="K350" s="372">
        <f t="shared" ca="1" si="52"/>
        <v>93.150684931506845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1089401.9300000002</v>
      </c>
      <c r="O352" s="165">
        <f t="shared" ca="1" si="53"/>
        <v>48.989626934803539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1089401.9300000002</v>
      </c>
      <c r="O354" s="169">
        <f t="shared" ca="1" si="53"/>
        <v>48.989626934803539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347435.01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235890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308190.92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197886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12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11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272</v>
      </c>
      <c r="K368" s="163">
        <f t="shared" ca="1" si="54"/>
        <v>93.150684931506845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236</v>
      </c>
      <c r="K370" s="163">
        <f t="shared" ca="1" si="54"/>
        <v>80.821917808219183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207</v>
      </c>
      <c r="K372" s="163">
        <f t="shared" ca="1" si="54"/>
        <v>70.890410958904113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187</v>
      </c>
      <c r="K375" s="163">
        <f t="shared" ref="K375:K377" ca="1" si="55">IF(I375&gt;0,J375*100/I375,0)</f>
        <v>29.495268138801261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40</v>
      </c>
      <c r="K376" s="163">
        <f t="shared" ca="1" si="55"/>
        <v>13.029315960912053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147</v>
      </c>
      <c r="K377" s="163">
        <f t="shared" ca="1" si="55"/>
        <v>44.954128440366972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2003.25</v>
      </c>
      <c r="K380" s="372">
        <f t="shared" ref="K380:K381" ca="1" si="56">IF(I380&gt;0,J380*100/I380,0)</f>
        <v>22.764204545454547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3068995.62</v>
      </c>
      <c r="O380" s="373">
        <f ca="1">+IF(L380&gt;0,N380*100/L380,0)</f>
        <v>34.205151176061484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3068995.62</v>
      </c>
      <c r="O383" s="165">
        <f t="shared" ca="1" si="57"/>
        <v>34.205151176061484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3068995.62</v>
      </c>
      <c r="O385" s="169">
        <f t="shared" ca="1" si="57"/>
        <v>34.205151176061484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1701439.5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624630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400965.94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341960.18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17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17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17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2003.25</v>
      </c>
      <c r="K397" s="163">
        <f t="shared" ca="1" si="58"/>
        <v>22.764204545454547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217</v>
      </c>
      <c r="K398" s="163">
        <f t="shared" ca="1" si="58"/>
        <v>24.65909090909091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2235</v>
      </c>
      <c r="K401" s="372">
        <f t="shared" ref="K401:K402" ca="1" si="59">IF(I401&gt;0,J401*100/I401,0)</f>
        <v>74.129353233830841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2292802</v>
      </c>
      <c r="O401" s="373">
        <f ca="1">+IF(L401&gt;0,N401*100/L401,0)</f>
        <v>67.579456193353479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947</v>
      </c>
      <c r="K402" s="372">
        <f t="shared" ca="1" si="59"/>
        <v>94.228855721393032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2292802</v>
      </c>
      <c r="O404" s="169">
        <f t="shared" ca="1" si="60"/>
        <v>67.579456193353479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2292802</v>
      </c>
      <c r="O406" s="169">
        <f t="shared" ca="1" si="60"/>
        <v>67.579456193353479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1747333.32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280595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264873.68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21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947</v>
      </c>
      <c r="K416" s="202">
        <f t="shared" ref="K416:K432" ca="1" si="61">IF(I416&gt;0,J416*100/I416,0)</f>
        <v>94.228855721393032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225</v>
      </c>
      <c r="K417" s="202">
        <f t="shared" ca="1" si="61"/>
        <v>94.537815126050418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639</v>
      </c>
      <c r="K418" s="202">
        <f t="shared" ca="1" si="61"/>
        <v>89.495798319327733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225</v>
      </c>
      <c r="K419" s="163">
        <f t="shared" ca="1" si="61"/>
        <v>94.537815126050418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8">
        <f t="shared" ca="1" si="61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506</v>
      </c>
      <c r="K421" s="202">
        <f t="shared" ca="1" si="61"/>
        <v>95.291902071563086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1080</v>
      </c>
      <c r="K422" s="202">
        <f t="shared" ca="1" si="61"/>
        <v>67.79661016949153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506</v>
      </c>
      <c r="K424" s="163">
        <f t="shared" ca="1" si="61"/>
        <v>95.291902071563086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506</v>
      </c>
      <c r="K425" s="163">
        <f t="shared" ca="1" si="61"/>
        <v>95.291902071563086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216</v>
      </c>
      <c r="K426" s="202">
        <f t="shared" ca="1" si="61"/>
        <v>91.525423728813564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516</v>
      </c>
      <c r="K427" s="202">
        <f t="shared" ca="1" si="61"/>
        <v>72.881355932203391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226</v>
      </c>
      <c r="K428" s="163">
        <f t="shared" ca="1" si="61"/>
        <v>95.762711864406782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216</v>
      </c>
      <c r="K429" s="163">
        <f t="shared" ca="1" si="61"/>
        <v>91.525423728813564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295</v>
      </c>
      <c r="K430" s="202">
        <f t="shared" ca="1" si="61"/>
        <v>38.361508452535759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110</v>
      </c>
      <c r="K431" s="163">
        <f t="shared" ca="1" si="61"/>
        <v>46.218487394957982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185</v>
      </c>
      <c r="K432" s="163">
        <f t="shared" ca="1" si="61"/>
        <v>34.839924670433142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2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509</v>
      </c>
      <c r="K435" s="411">
        <f ca="1">IF(I435&gt;0,J435*100/I435,0)</f>
        <v>100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2293900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1457827.98</v>
      </c>
      <c r="O435" s="412">
        <f t="shared" ref="O435:O439" ca="1" si="62">+IF(L435&gt;0,N435*100/L435,0)</f>
        <v>63.552377174244739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2293900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1457827.98</v>
      </c>
      <c r="O437" s="169">
        <f t="shared" ca="1" si="62"/>
        <v>63.552377174244739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2293900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1457827.98</v>
      </c>
      <c r="O439" s="169">
        <f t="shared" ca="1" si="62"/>
        <v>63.552377174244739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1118593.3900000001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339234.58999999997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20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20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20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509</v>
      </c>
      <c r="K449" s="163">
        <f t="shared" ref="K449:K452" ca="1" si="63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399</v>
      </c>
      <c r="K450" s="163">
        <f t="shared" ca="1" si="63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120424.45</v>
      </c>
      <c r="K455" s="372">
        <f ca="1">IF(I455&gt;0,J455*100/I455,0)</f>
        <v>21.64875553917647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5606664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1249851.0799999991</v>
      </c>
      <c r="O455" s="373">
        <f t="shared" ref="O455:O459" ca="1" si="64">+IF(L455&gt;0,N455*100/L455,0)</f>
        <v>22.292241518307485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5606664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1249851.0799999991</v>
      </c>
      <c r="O457" s="169">
        <f t="shared" ca="1" si="64"/>
        <v>22.292241518307485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5606664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1249851.0799999991</v>
      </c>
      <c r="O459" s="169">
        <f t="shared" ca="1" si="64"/>
        <v>22.292241518307485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333340.31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916510.77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7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120424.45</v>
      </c>
      <c r="K464" s="268">
        <f t="shared" ref="K464:K515" ca="1" si="65">IF(I464&gt;0,J464*100/I464,0)</f>
        <v>21.64875553917647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502792.41867999989</v>
      </c>
      <c r="K465" s="202">
        <f t="shared" ca="1" si="65"/>
        <v>90.387210894088227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42109</v>
      </c>
      <c r="K466" s="202">
        <f t="shared" ca="1" si="65"/>
        <v>92.271452362170223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391279.50280000002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34265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94315.470679999999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6485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17197.445200000002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1359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349574.07819999987</v>
      </c>
      <c r="K473" s="202">
        <f t="shared" ca="1" si="65"/>
        <v>62.843083458423564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30227</v>
      </c>
      <c r="K474" s="202">
        <f t="shared" ca="1" si="65"/>
        <v>66.234989920238405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275040.11290000001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25230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62024.790099999998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3978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12509.175200000001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1029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120424.45</v>
      </c>
      <c r="K481" s="202">
        <f t="shared" ca="1" si="65"/>
        <v>21.64875553917647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11993</v>
      </c>
      <c r="K482" s="202">
        <f t="shared" ca="1" si="65"/>
        <v>26.279691471645194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112685.45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11057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6044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704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1695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232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1673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229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22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3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88">
        <f t="shared" ca="1" si="65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0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0</v>
      </c>
      <c r="K496" s="288">
        <f t="shared" ca="1" si="65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8038</v>
      </c>
      <c r="K497" s="444">
        <f t="shared" ca="1" si="65"/>
        <v>13.711575858892566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8038</v>
      </c>
      <c r="K498" s="202">
        <f t="shared" ca="1" si="65"/>
        <v>13.711575858892566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580</v>
      </c>
      <c r="K499" s="202">
        <f t="shared" ca="1" si="65"/>
        <v>15.331747290510178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7352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470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7347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469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5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182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9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182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9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7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4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4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6102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194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6102</v>
      </c>
      <c r="J525" s="284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4522.41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194</v>
      </c>
      <c r="J526" s="284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117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4372.76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106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527095.99</v>
      </c>
      <c r="O533" s="412">
        <f t="shared" ref="O533:O537" ca="1" si="66">+IF(L533&gt;0,N533*100/L533,0)</f>
        <v>74.9471754183907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527095.99</v>
      </c>
      <c r="O535" s="169">
        <f t="shared" ca="1" si="66"/>
        <v>74.9471754183907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527095.99</v>
      </c>
      <c r="O537" s="169">
        <f t="shared" ca="1" si="66"/>
        <v>74.9471754183907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358656.02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168439.97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19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4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2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11">
        <f ca="1">IF(I551&gt;0,J551*100/I551,0)</f>
        <v>0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70365</v>
      </c>
      <c r="O551" s="412">
        <f t="shared" ref="O551:O555" ca="1" si="68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70365</v>
      </c>
      <c r="O553" s="169">
        <f t="shared" ca="1" si="68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70365</v>
      </c>
      <c r="O555" s="169">
        <f t="shared" ca="1" si="68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4">
        <f t="shared" ref="K560:K561" ca="1" si="69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4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36411</v>
      </c>
      <c r="K564" s="372">
        <f ca="1">IF(I564&gt;0,J564*100/I564,0)</f>
        <v>231.32782719186784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1243130.28</v>
      </c>
      <c r="O564" s="373">
        <f t="shared" ref="O564:O568" ca="1" si="70">+IF(L564&gt;0,N564*100/L564,0)</f>
        <v>46.715956167513454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1243130.28</v>
      </c>
      <c r="O566" s="169">
        <f t="shared" ca="1" si="70"/>
        <v>46.715956167513454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1243130.28</v>
      </c>
      <c r="O568" s="169">
        <f t="shared" ca="1" si="70"/>
        <v>46.715956167513454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991076.96000000008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252053.32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36411</v>
      </c>
      <c r="K573" s="202">
        <f ca="1">IF(I573&gt;0,J573*100/I573,0)</f>
        <v>231.32782719186784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67</v>
      </c>
      <c r="K575" s="163">
        <f t="shared" ref="K575:K579" ca="1" si="71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2597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33786</v>
      </c>
      <c r="K577" s="163">
        <f t="shared" ca="1" si="71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15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13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28</v>
      </c>
      <c r="K580" s="372">
        <f ca="1">IF(I580&gt;0,J580*100/I580,0)</f>
        <v>2.8140703517587942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605577.93999999901</v>
      </c>
      <c r="O580" s="373">
        <f t="shared" ref="O580:O584" ca="1" si="72">+IF(L580&gt;0,N580*100/L580,0)</f>
        <v>38.212716792185482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605577.93999999901</v>
      </c>
      <c r="O582" s="169">
        <f t="shared" ca="1" si="72"/>
        <v>38.212716792185482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605577.93999999901</v>
      </c>
      <c r="O584" s="169">
        <f t="shared" ca="1" si="72"/>
        <v>38.212716792185482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239890.26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365687.68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420</v>
      </c>
      <c r="K589" s="163">
        <f t="shared" ref="K589:K596" ca="1" si="73">IF(I589&gt;0,J589*100/I589,0)</f>
        <v>42.211055276381913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280.44</v>
      </c>
      <c r="K590" s="479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189</v>
      </c>
      <c r="K591" s="163">
        <f t="shared" ca="1" si="73"/>
        <v>18.994974874371859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93.44</v>
      </c>
      <c r="K592" s="342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8</v>
      </c>
      <c r="K593" s="163">
        <f t="shared" ca="1" si="73"/>
        <v>0.8040201005025126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6.31</v>
      </c>
      <c r="K594" s="342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28</v>
      </c>
      <c r="K595" s="163">
        <f t="shared" ca="1" si="73"/>
        <v>2.8140703517587942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1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25.46</v>
      </c>
      <c r="K596" s="486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7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411">
        <f ca="1">IF(I597&gt;0,J597*100/I597,0)</f>
        <v>0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52128.2</v>
      </c>
      <c r="O597" s="412">
        <f t="shared" ref="O597:O601" ca="1" si="74">+IF(L597&gt;0,N597*100/L597,0)</f>
        <v>34.994763694951665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52128.2</v>
      </c>
      <c r="O599" s="169">
        <f t="shared" ca="1" si="74"/>
        <v>34.994763694951665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52128.2</v>
      </c>
      <c r="O601" s="169">
        <f t="shared" ca="1" si="74"/>
        <v>34.994763694951665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47328.2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63">
        <f t="shared" ref="K611:K619" ca="1" si="75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1657.18</v>
      </c>
      <c r="K612" s="163">
        <f t="shared" ca="1" si="75"/>
        <v>101.54289215686275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1239.18</v>
      </c>
      <c r="K613" s="163">
        <f t="shared" ca="1" si="75"/>
        <v>75.930147058823536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1021</v>
      </c>
      <c r="K614" s="163">
        <f t="shared" ca="1" si="75"/>
        <v>62.561274509803923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938</v>
      </c>
      <c r="K615" s="163">
        <f t="shared" ca="1" si="75"/>
        <v>57.475490196078432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252</v>
      </c>
      <c r="K616" s="163">
        <f t="shared" ca="1" si="75"/>
        <v>15.441176470588236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63">
        <f t="shared" ca="1" si="75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63">
        <f t="shared" ca="1" si="75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3">
        <f t="shared" ref="K620:K626" ca="1" si="76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3">
        <f t="shared" ca="1" si="76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3">
        <f t="shared" ca="1" si="76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3">
        <f t="shared" ca="1" si="76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3">
        <f t="shared" ca="1" si="76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3">
        <f t="shared" ca="1" si="76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95684622.340000004</v>
      </c>
      <c r="J628" s="341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43584621.030000001</v>
      </c>
      <c r="K628" s="342">
        <f t="shared" ref="K628:K635" ca="1" si="77">IF(I628&gt;0,J628*100/I628,0)</f>
        <v>45.550287981624699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3769</v>
      </c>
      <c r="J629" s="341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1922</v>
      </c>
      <c r="K629" s="342">
        <f t="shared" ca="1" si="77"/>
        <v>50.994958875033163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1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10997896.140000002</v>
      </c>
      <c r="K630" s="342">
        <f t="shared" ca="1" si="77"/>
        <v>9.4469007091631845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1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1276</v>
      </c>
      <c r="K631" s="342">
        <f t="shared" ca="1" si="77"/>
        <v>36.729994242947612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1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12510385.710000001</v>
      </c>
      <c r="K632" s="342">
        <f t="shared" ca="1" si="77"/>
        <v>26.195888523839439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1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6002</v>
      </c>
      <c r="K633" s="342">
        <f t="shared" ca="1" si="77"/>
        <v>54.301999457160953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91975000</v>
      </c>
      <c r="J634" s="341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34020000</v>
      </c>
      <c r="K634" s="342">
        <f t="shared" ca="1" si="77"/>
        <v>36.988312041315574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2660</v>
      </c>
      <c r="J635" s="504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989</v>
      </c>
      <c r="K635" s="486">
        <f t="shared" ca="1" si="77"/>
        <v>37.180451127819552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506225</v>
      </c>
      <c r="M636" s="511"/>
      <c r="N636" s="510">
        <f ca="1">SUM(N637:N638)</f>
        <v>3600</v>
      </c>
      <c r="O636" s="510">
        <f t="shared" ref="O636:O640" ca="1" si="78">+IF(L636&gt;0,N636*100/L636,0)</f>
        <v>0.71114622944342931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78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506225</v>
      </c>
      <c r="M638" s="521"/>
      <c r="N638" s="522">
        <f ca="1">SUM(N639:N640)</f>
        <v>3600</v>
      </c>
      <c r="O638" s="522">
        <f t="shared" ca="1" si="78"/>
        <v>0.71114622944342931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78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506225</v>
      </c>
      <c r="M640" s="521"/>
      <c r="N640" s="522">
        <f ca="1">SUM(N641:N644)</f>
        <v>3600</v>
      </c>
      <c r="O640" s="522">
        <f t="shared" ca="1" si="78"/>
        <v>0.71114622944342931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3600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1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6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7">
        <f t="shared" ref="K648:K651" ca="1" si="79">IF(I648&gt;0,J648*100/I648,0)</f>
        <v>0</v>
      </c>
      <c r="L648" s="522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1"/>
      <c r="N648" s="538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0</v>
      </c>
      <c r="O648" s="537">
        <f t="shared" ref="O648:O651" ca="1" si="80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6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7</v>
      </c>
      <c r="K649" s="537">
        <f t="shared" ca="1" si="79"/>
        <v>2.005730659025788</v>
      </c>
      <c r="L649" s="522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1"/>
      <c r="N649" s="538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0</v>
      </c>
      <c r="O649" s="537">
        <f t="shared" ca="1" si="80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6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0</v>
      </c>
      <c r="K650" s="537">
        <f t="shared" ca="1" si="79"/>
        <v>0</v>
      </c>
      <c r="L650" s="522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1"/>
      <c r="N650" s="538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0</v>
      </c>
      <c r="O650" s="537">
        <f t="shared" ca="1" si="80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6">
        <f ca="1">J657+J660</f>
        <v>0</v>
      </c>
      <c r="K651" s="537">
        <f t="shared" ca="1" si="79"/>
        <v>0</v>
      </c>
      <c r="L651" s="522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1"/>
      <c r="N651" s="538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0</v>
      </c>
      <c r="O651" s="537">
        <f t="shared" ca="1" si="80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0</v>
      </c>
      <c r="K661" s="537"/>
      <c r="L661" s="522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1"/>
      <c r="N661" s="538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2600</v>
      </c>
      <c r="O661" s="537">
        <f ca="1">IF(L661&gt;0,N661*100/L661,0)</f>
        <v>2.3098791755508175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6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6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3</v>
      </c>
      <c r="K665" s="537">
        <f ca="1">IF(I665&gt;0,J665*100/I665,0)</f>
        <v>1.6129032258064515</v>
      </c>
      <c r="L665" s="522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1"/>
      <c r="N665" s="538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3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39.950000000000003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6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6</v>
      </c>
      <c r="K668" s="537">
        <f ca="1">IF(I668&gt;0,J668*100/I668,0)</f>
        <v>4.225352112676056</v>
      </c>
      <c r="L668" s="522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1"/>
      <c r="N668" s="538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1000</v>
      </c>
      <c r="O668" s="537">
        <f ca="1">IF(L668&gt;0,N668*100/L668,0)</f>
        <v>0.93075204765450481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35.700000000000003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6">
        <f ca="1">J674+J677</f>
        <v>0</v>
      </c>
      <c r="K671" s="537">
        <f ca="1">IF(I671&gt;0,J671*100/I671,0)</f>
        <v>0</v>
      </c>
      <c r="L671" s="522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1"/>
      <c r="N671" s="538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3292795</v>
      </c>
      <c r="M8" s="23">
        <f t="shared" ca="1" si="0"/>
        <v>2148840</v>
      </c>
      <c r="N8" s="23">
        <f t="shared" ca="1" si="0"/>
        <v>2051942.44</v>
      </c>
      <c r="O8" s="22">
        <f t="shared" ref="O8:O16" ca="1" si="1">IF(L8&gt;0,N8*100/L8,0)</f>
        <v>62.316130825028587</v>
      </c>
      <c r="P8" s="22">
        <f t="shared" ref="P8:P16" ca="1" si="2">IF(M8&gt;0,N8*100/M8,0)</f>
        <v>95.490703821596767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3292795</v>
      </c>
      <c r="M10" s="30">
        <f t="shared" ca="1" si="4"/>
        <v>2148840</v>
      </c>
      <c r="N10" s="30">
        <f t="shared" ca="1" si="4"/>
        <v>2051942.44</v>
      </c>
      <c r="O10" s="29">
        <f t="shared" ca="1" si="1"/>
        <v>62.316130825028587</v>
      </c>
      <c r="P10" s="29">
        <f t="shared" ca="1" si="2"/>
        <v>95.490703821596767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2942195</v>
      </c>
      <c r="M12" s="38">
        <f t="shared" ca="1" si="6"/>
        <v>1798240</v>
      </c>
      <c r="N12" s="38">
        <f t="shared" ca="1" si="6"/>
        <v>1701342.44</v>
      </c>
      <c r="O12" s="38">
        <f t="shared" ca="1" si="1"/>
        <v>57.82561794850443</v>
      </c>
      <c r="P12" s="38">
        <f t="shared" ca="1" si="2"/>
        <v>94.611533499421654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1044395</v>
      </c>
      <c r="M14" s="38">
        <f t="shared" si="8"/>
        <v>0</v>
      </c>
      <c r="N14" s="38">
        <f t="shared" ca="1" si="8"/>
        <v>357283.03</v>
      </c>
      <c r="O14" s="38">
        <f t="shared" ca="1" si="1"/>
        <v>34.20956917641314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2148840</v>
      </c>
      <c r="N18" s="23">
        <f t="shared" ca="1" si="11"/>
        <v>1694659.41</v>
      </c>
      <c r="O18" s="22">
        <f t="shared" ref="O18:O20" ca="1" si="12">IF(L18&gt;0,N18*100/L18,0)</f>
        <v>62.145891037641576</v>
      </c>
      <c r="P18" s="22">
        <f t="shared" ref="P18:P26" ca="1" si="13">IF(M18&gt;0,N18*100/M18,0)</f>
        <v>78.863917741665276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2148840</v>
      </c>
      <c r="N20" s="30">
        <f t="shared" ca="1" si="15"/>
        <v>1694659.41</v>
      </c>
      <c r="O20" s="29">
        <f t="shared" ca="1" si="12"/>
        <v>62.145891037641576</v>
      </c>
      <c r="P20" s="29">
        <f t="shared" ca="1" si="13"/>
        <v>78.863917741665276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1798240</v>
      </c>
      <c r="N22" s="38">
        <f t="shared" ca="1" si="18"/>
        <v>1344059.41</v>
      </c>
      <c r="O22" s="38">
        <f t="shared" ca="1" si="17"/>
        <v>56.560896433749036</v>
      </c>
      <c r="P22" s="38">
        <f t="shared" ca="1" si="13"/>
        <v>74.743049314885667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357283.03</v>
      </c>
      <c r="O28" s="22">
        <f t="shared" ref="O28:O30" ca="1" si="24">IF(L28&gt;0,N28*100/L28,0)</f>
        <v>63.136480588100163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357283.03</v>
      </c>
      <c r="O30" s="29">
        <f t="shared" ca="1" si="24"/>
        <v>63.136480588100163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565890</v>
      </c>
      <c r="M32" s="38">
        <f t="shared" si="30"/>
        <v>0</v>
      </c>
      <c r="N32" s="38">
        <f t="shared" ca="1" si="30"/>
        <v>357283.03</v>
      </c>
      <c r="O32" s="38">
        <f t="shared" ca="1" si="29"/>
        <v>63.136480588100163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565890</v>
      </c>
      <c r="M34" s="38">
        <f t="shared" si="32"/>
        <v>0</v>
      </c>
      <c r="N34" s="38">
        <f t="shared" ca="1" si="32"/>
        <v>357283.03</v>
      </c>
      <c r="O34" s="38">
        <f t="shared" ca="1" si="29"/>
        <v>63.136480588100163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2148840</v>
      </c>
      <c r="N37" s="54">
        <f t="shared" ca="1" si="33"/>
        <v>1694659.41</v>
      </c>
      <c r="O37" s="55">
        <f t="shared" ca="1" si="29"/>
        <v>62.145891037641576</v>
      </c>
      <c r="P37" s="55">
        <f t="shared" ca="1" si="25"/>
        <v>78.863917741665276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846200</v>
      </c>
      <c r="N41" s="78">
        <f t="shared" ca="1" si="34"/>
        <v>779930.40999999992</v>
      </c>
      <c r="O41" s="77">
        <f t="shared" ref="O41:O43" ca="1" si="35">IF(L41&gt;0,N41*100/L41,0)</f>
        <v>77.121567289627194</v>
      </c>
      <c r="P41" s="77">
        <f t="shared" ref="P41:P43" ca="1" si="36">IF(M41&gt;0,N41*100/M41,0)</f>
        <v>92.168566532734559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846200</v>
      </c>
      <c r="N43" s="78">
        <f t="shared" ca="1" si="38"/>
        <v>779930.40999999992</v>
      </c>
      <c r="O43" s="77">
        <f t="shared" ca="1" si="35"/>
        <v>77.121567289627194</v>
      </c>
      <c r="P43" s="77">
        <f t="shared" ca="1" si="36"/>
        <v>92.168566532734559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IFERROR(__xludf.DUMMYFUNCTION("IMPORTRANGE(""https://docs.google.com/spreadsheets/d/1Yj_ptqi66GCucihVvJfMjLAmec39IyEx_6qawtMGysU/edit?usp=sharing"",""สบก!Q67"")"),495600)</f>
        <v>495600</v>
      </c>
      <c r="N45" s="49">
        <f ca="1">IFERROR(__xludf.DUMMYFUNCTION("IMPORTRANGE(""https://docs.google.com/spreadsheets/d/1Yj_ptqi66GCucihVvJfMjLAmec39IyEx_6qawtMGysU/edit?usp=sharing"",""สบก!R67"")"),429330.41)</f>
        <v>429330.41</v>
      </c>
      <c r="O45" s="38">
        <f ca="1">IF(L45&gt;0,N45*100/L45,0)</f>
        <v>64.981142727410329</v>
      </c>
      <c r="P45" s="38">
        <f ca="1">IF(M45&gt;0,N45*100/M45,0)</f>
        <v>86.628412025827274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320250</v>
      </c>
      <c r="N53" s="121">
        <f t="shared" ca="1" si="39"/>
        <v>302554.23</v>
      </c>
      <c r="O53" s="120">
        <f t="shared" ref="O53:O55" ca="1" si="40">IF(L53&gt;0,N53*100/L53,0)</f>
        <v>75.638557500000005</v>
      </c>
      <c r="P53" s="120">
        <f t="shared" ref="P53:P55" ca="1" si="41">IF(M53&gt;0,N53*100/M53,0)</f>
        <v>94.474388758782197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320250</v>
      </c>
      <c r="N55" s="121">
        <f t="shared" ca="1" si="43"/>
        <v>302554.23</v>
      </c>
      <c r="O55" s="120">
        <f t="shared" ca="1" si="40"/>
        <v>75.638557500000005</v>
      </c>
      <c r="P55" s="120">
        <f t="shared" ca="1" si="41"/>
        <v>94.474388758782197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IFERROR(__xludf.DUMMYFUNCTION("IMPORTRANGE(""https://docs.google.com/spreadsheets/d/1Yj_ptqi66GCucihVvJfMjLAmec39IyEx_6qawtMGysU/edit?usp=sharing"",""สบก!Z67"")"),320250)</f>
        <v>320250</v>
      </c>
      <c r="N57" s="49">
        <f ca="1">IFERROR(__xludf.DUMMYFUNCTION("IMPORTRANGE(""https://docs.google.com/spreadsheets/d/1Yj_ptqi66GCucihVvJfMjLAmec39IyEx_6qawtMGysU/edit?usp=sharing"",""สบก!AA67"")"),302554.23)</f>
        <v>302554.23</v>
      </c>
      <c r="O57" s="38">
        <f ca="1">IF(L57&gt;0,N57*100/L57,0)</f>
        <v>75.638557500000005</v>
      </c>
      <c r="P57" s="38">
        <f ca="1">IF(M57&gt;0,N57*100/M57,0)</f>
        <v>94.474388758782197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IFERROR(__xludf.DUMMYFUNCTION("IMPORTRANGE(""https://docs.google.com/spreadsheets/d/1Yj_ptqi66GCucihVvJfMjLAmec39IyEx_6qawtMGysU/edit?usp=sharing"",""สบก!AI67"")"),0)</f>
        <v>0</v>
      </c>
      <c r="N70" s="169">
        <f ca="1">IFERROR(__xludf.DUMMYFUNCTION("IMPORTRANGE(""https://docs.google.com/spreadsheets/d/1Yj_ptqi66GCucihVvJfMjLAmec39IyEx_6qawtMGysU/edit?usp=sharing"",""สบก!AJ67"")"),0)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IFERROR(__xludf.DUMMYFUNCTION("IMPORTRANGE(""https://docs.google.com/spreadsheets/d/1SX6NBoVAgQJ6U1MVXOaj8PK2l7WJ3RER9xtqwdhxkhw/edit?usp=sharing"",""ปทุมธานี!J50"")"),0)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277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IFERROR(__xludf.DUMMYFUNCTION("IMPORTRANGE(""https://docs.google.com/spreadsheets/d/1SX6NBoVAgQJ6U1MVXOaj8PK2l7WJ3RER9xtqwdhxkhw/edit?usp=sharing"",""ปทุมธานี!J65"")"),0)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IFERROR(__xludf.DUMMYFUNCTION("IMPORTRANGE(""https://docs.google.com/spreadsheets/d/1SX6NBoVAgQJ6U1MVXOaj8PK2l7WJ3RER9xtqwdhxkhw/edit?usp=sharing"",""ปทุมธานี!I68"")"),30)</f>
        <v>30</v>
      </c>
      <c r="J138" s="267">
        <f ca="1">IFERROR(__xludf.DUMMYFUNCTION("IMPORTRANGE(""https://docs.google.com/spreadsheets/d/1SX6NBoVAgQJ6U1MVXOaj8PK2l7WJ3RER9xtqwdhxkhw/edit?usp=sharing"",""ปทุมธานี!J68"")"),30)</f>
        <v>30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668300</v>
      </c>
      <c r="M140" s="152">
        <f t="shared" ca="1" si="64"/>
        <v>511325</v>
      </c>
      <c r="N140" s="152">
        <f t="shared" ca="1" si="64"/>
        <v>386276.43</v>
      </c>
      <c r="O140" s="151">
        <f t="shared" ref="O140:O142" ca="1" si="65">IF(L140&gt;0,N140*100/L140,0)</f>
        <v>57.799854855603769</v>
      </c>
      <c r="P140" s="151">
        <f t="shared" ref="P140:P142" ca="1" si="66">IF(M140&gt;0,N140*100/M140,0)</f>
        <v>75.544209651395889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668300</v>
      </c>
      <c r="M142" s="157">
        <f t="shared" ca="1" si="68"/>
        <v>511325</v>
      </c>
      <c r="N142" s="157">
        <f t="shared" ca="1" si="68"/>
        <v>386276.43</v>
      </c>
      <c r="O142" s="156">
        <f t="shared" ca="1" si="65"/>
        <v>57.799854855603769</v>
      </c>
      <c r="P142" s="156">
        <f t="shared" ca="1" si="66"/>
        <v>75.544209651395889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668300</v>
      </c>
      <c r="M144" s="168">
        <f ca="1">IFERROR(__xludf.DUMMYFUNCTION("IMPORTRANGE(""https://docs.google.com/spreadsheets/d/1Yj_ptqi66GCucihVvJfMjLAmec39IyEx_6qawtMGysU/edit?usp=sharing"",""สบก!BJ67"")"),511325)</f>
        <v>511325</v>
      </c>
      <c r="N144" s="169">
        <f ca="1">IFERROR(__xludf.DUMMYFUNCTION("IMPORTRANGE(""https://docs.google.com/spreadsheets/d/1Yj_ptqi66GCucihVvJfMjLAmec39IyEx_6qawtMGysU/edit?usp=sharing"",""สบก!BK67"")"),386276.43)</f>
        <v>386276.43</v>
      </c>
      <c r="O144" s="169">
        <f ca="1">IF(L144&gt;0,N144*100/L144,0)</f>
        <v>57.799854855603769</v>
      </c>
      <c r="P144" s="169">
        <f ca="1">IF(M144&gt;0,N144*100/M144,0)</f>
        <v>75.544209651395889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IFERROR(__xludf.DUMMYFUNCTION("IMPORTRANGE(""https://docs.google.com/spreadsheets/d/1Yj_ptqi66GCucihVvJfMjLAmec39IyEx_6qawtMGysU/edit?usp=sharing"",""สบก!BG67"")"),220000)</f>
        <v>220000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IFERROR(__xludf.DUMMYFUNCTION("IMPORTRANGE(""https://docs.google.com/spreadsheets/d/1SX6NBoVAgQJ6U1MVXOaj8PK2l7WJ3RER9xtqwdhxkhw/edit?usp=sharing"",""ปทุมธานี!I74"")"),4)</f>
        <v>4</v>
      </c>
      <c r="J149" s="275">
        <f ca="1">IFERROR(__xludf.DUMMYFUNCTION("IMPORTRANGE(""https://docs.google.com/spreadsheets/d/1SX6NBoVAgQJ6U1MVXOaj8PK2l7WJ3RER9xtqwdhxkhw/edit?usp=sharing"",""ปทุมธานี!J74"")"),2)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IFERROR(__xludf.DUMMYFUNCTION("IMPORTRANGE(""https://docs.google.com/spreadsheets/d/1SX6NBoVAgQJ6U1MVXOaj8PK2l7WJ3RER9xtqwdhxkhw/edit?usp=sharing"",""ปทุมธานี!J84"")"),59)</f>
        <v>59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IFERROR(__xludf.DUMMYFUNCTION("IMPORTRANGE(""https://docs.google.com/spreadsheets/d/1SX6NBoVAgQJ6U1MVXOaj8PK2l7WJ3RER9xtqwdhxkhw/edit?usp=sharing"",""ปทุมธานี!J85"")"),59)</f>
        <v>59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IFERROR(__xludf.DUMMYFUNCTION("IMPORTRANGE(""https://docs.google.com/spreadsheets/d/1SX6NBoVAgQJ6U1MVXOaj8PK2l7WJ3RER9xtqwdhxkhw/edit?usp=sharing"",""ปทุมธานี!J88"")"),0)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IFERROR(__xludf.DUMMYFUNCTION("IMPORTRANGE(""https://docs.google.com/spreadsheets/d/1SX6NBoVAgQJ6U1MVXOaj8PK2l7WJ3RER9xtqwdhxkhw/edit?usp=sharing"",""ปทุมธานี!I89"")"),1)</f>
        <v>1</v>
      </c>
      <c r="J164" s="284">
        <f ca="1">IFERROR(__xludf.DUMMYFUNCTION("IMPORTRANGE(""https://docs.google.com/spreadsheets/d/1SX6NBoVAgQJ6U1MVXOaj8PK2l7WJ3RER9xtqwdhxkhw/edit?usp=sharing"",""ปทุมธานี!J89"")"),1)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IFERROR(__xludf.DUMMYFUNCTION("IMPORTRANGE(""https://docs.google.com/spreadsheets/d/1SX6NBoVAgQJ6U1MVXOaj8PK2l7WJ3RER9xtqwdhxkhw/edit?usp=sharing"",""ปทุมธานี!I101"")"),0)</f>
        <v>0</v>
      </c>
      <c r="J176" s="284">
        <f ca="1">IFERROR(__xludf.DUMMYFUNCTION("IMPORTRANGE(""https://docs.google.com/spreadsheets/d/1SX6NBoVAgQJ6U1MVXOaj8PK2l7WJ3RER9xtqwdhxkhw/edit?usp=sharing"",""ปทุมธานี!J101"")"),0)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IFERROR(__xludf.DUMMYFUNCTION("IMPORTRANGE(""https://docs.google.com/spreadsheets/d/1SX6NBoVAgQJ6U1MVXOaj8PK2l7WJ3RER9xtqwdhxkhw/edit?usp=sharing"",""ปทุมธานี!J113"")"),0)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IFERROR(__xludf.DUMMYFUNCTION("IMPORTRANGE(""https://docs.google.com/spreadsheets/d/1SX6NBoVAgQJ6U1MVXOaj8PK2l7WJ3RER9xtqwdhxkhw/edit?usp=sharing"",""ปทุมธานี!I114"")"),20000)</f>
        <v>20000</v>
      </c>
      <c r="J189" s="284">
        <f ca="1">IFERROR(__xludf.DUMMYFUNCTION("IMPORTRANGE(""https://docs.google.com/spreadsheets/d/1SX6NBoVAgQJ6U1MVXOaj8PK2l7WJ3RER9xtqwdhxkhw/edit?usp=sharing"",""ปทุมธานี!J114"")"),0)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IFERROR(__xludf.DUMMYFUNCTION("IMPORTRANGE(""https://docs.google.com/spreadsheets/d/1SX6NBoVAgQJ6U1MVXOaj8PK2l7WJ3RER9xtqwdhxkhw/edit?usp=sharing"",""ปทุมธานี!J128"")"),0)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IFERROR(__xludf.DUMMYFUNCTION("IMPORTRANGE(""https://docs.google.com/spreadsheets/d/1SX6NBoVAgQJ6U1MVXOaj8PK2l7WJ3RER9xtqwdhxkhw/edit?usp=sharing"",""ปทุมธานี!I129"")"),30)</f>
        <v>30</v>
      </c>
      <c r="J204" s="284">
        <f ca="1">IFERROR(__xludf.DUMMYFUNCTION("IMPORTRANGE(""https://docs.google.com/spreadsheets/d/1SX6NBoVAgQJ6U1MVXOaj8PK2l7WJ3RER9xtqwdhxkhw/edit?usp=sharing"",""ปทุมธานี!J129"")"),30)</f>
        <v>30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IFERROR(__xludf.DUMMYFUNCTION("IMPORTRANGE(""https://docs.google.com/spreadsheets/d/1SX6NBoVAgQJ6U1MVXOaj8PK2l7WJ3RER9xtqwdhxkhw/edit?usp=sharing"",""ปทุมธานี!J143"")"),0)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IFERROR(__xludf.DUMMYFUNCTION("IMPORTRANGE(""https://docs.google.com/spreadsheets/d/1SX6NBoVAgQJ6U1MVXOaj8PK2l7WJ3RER9xtqwdhxkhw/edit?usp=sharing"",""ปทุมธานี!I144"")"),15)</f>
        <v>15</v>
      </c>
      <c r="J219" s="267">
        <f ca="1">IFERROR(__xludf.DUMMYFUNCTION("IMPORTRANGE(""https://docs.google.com/spreadsheets/d/1SX6NBoVAgQJ6U1MVXOaj8PK2l7WJ3RER9xtqwdhxkhw/edit?usp=sharing"",""ปทุมธานี!J144"")"),15)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IFERROR(__xludf.DUMMYFUNCTION("IMPORTRANGE(""https://docs.google.com/spreadsheets/d/1SX6NBoVAgQJ6U1MVXOaj8PK2l7WJ3RER9xtqwdhxkhw/edit?usp=sharing"",""ปทุมธานี!I149"")"),15)</f>
        <v>15</v>
      </c>
      <c r="J229" s="267">
        <f ca="1">IFERROR(__xludf.DUMMYFUNCTION("IMPORTRANGE(""https://docs.google.com/spreadsheets/d/1SX6NBoVAgQJ6U1MVXOaj8PK2l7WJ3RER9xtqwdhxkhw/edit?usp=sharing"",""ปทุมธานี!J149"")"),15)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IFERROR(__xludf.DUMMYFUNCTION("IMPORTRANGE(""https://docs.google.com/spreadsheets/d/1SX6NBoVAgQJ6U1MVXOaj8PK2l7WJ3RER9xtqwdhxkhw/edit?usp=sharing"",""ปทุมธานี!J157"")"),0)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IFERROR(__xludf.DUMMYFUNCTION("IMPORTRANGE(""https://docs.google.com/spreadsheets/d/1SX6NBoVAgQJ6U1MVXOaj8PK2l7WJ3RER9xtqwdhxkhw/edit?usp=sharing"",""ปทุมธานี!I158"")"),0)</f>
        <v>0</v>
      </c>
      <c r="J238" s="267">
        <f ca="1">IFERROR(__xludf.DUMMYFUNCTION("IMPORTRANGE(""https://docs.google.com/spreadsheets/d/1SX6NBoVAgQJ6U1MVXOaj8PK2l7WJ3RER9xtqwdhxkhw/edit?usp=sharing"",""ปทุมธานี!J158"")"),0)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IFERROR(__xludf.DUMMYFUNCTION("IMPORTRANGE(""https://docs.google.com/spreadsheets/d/1SX6NBoVAgQJ6U1MVXOaj8PK2l7WJ3RER9xtqwdhxkhw/edit?usp=sharing"",""ปทุมธานี!J166"")"),0)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IFERROR(__xludf.DUMMYFUNCTION("IMPORTRANGE(""https://docs.google.com/spreadsheets/d/1SX6NBoVAgQJ6U1MVXOaj8PK2l7WJ3RER9xtqwdhxkhw/edit?usp=sharing"",""ปทุมธานี!I169"")"),0)</f>
        <v>0</v>
      </c>
      <c r="J249" s="316">
        <f ca="1">IFERROR(__xludf.DUMMYFUNCTION("IMPORTRANGE(""https://docs.google.com/spreadsheets/d/1SX6NBoVAgQJ6U1MVXOaj8PK2l7WJ3RER9xtqwdhxkhw/edit?usp=sharing"",""ปทุมธานี!J169"")"),0)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IFERROR(__xludf.DUMMYFUNCTION("IMPORTRANGE(""https://docs.google.com/spreadsheets/d/1SX6NBoVAgQJ6U1MVXOaj8PK2l7WJ3RER9xtqwdhxkhw/edit?usp=sharing"",""ปทุมธานี!J184"")"),0)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IFERROR(__xludf.DUMMYFUNCTION("IMPORTRANGE(""https://docs.google.com/spreadsheets/d/1SX6NBoVAgQJ6U1MVXOaj8PK2l7WJ3RER9xtqwdhxkhw/edit?usp=sharing"",""ปทุมธานี!I185"")"),15)</f>
        <v>15</v>
      </c>
      <c r="J270" s="316">
        <f ca="1">IFERROR(__xludf.DUMMYFUNCTION("IMPORTRANGE(""https://docs.google.com/spreadsheets/d/1SX6NBoVAgQJ6U1MVXOaj8PK2l7WJ3RER9xtqwdhxkhw/edit?usp=sharing"",""ปทุมธานี!J185"")"),15)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15700</v>
      </c>
      <c r="O271" s="151">
        <f t="shared" ref="O271:O273" ca="1" si="84">IF(L271&gt;0,N271*100/L271,0)</f>
        <v>28.442028985507246</v>
      </c>
      <c r="P271" s="151">
        <f t="shared" ref="P271:P273" ca="1" si="85">IF(M271&gt;0,N271*100/M271,0)</f>
        <v>48.68217054263566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15700</v>
      </c>
      <c r="O273" s="156">
        <f t="shared" ca="1" si="84"/>
        <v>28.442028985507246</v>
      </c>
      <c r="P273" s="156">
        <f t="shared" ca="1" si="85"/>
        <v>48.68217054263566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IFERROR(__xludf.DUMMYFUNCTION("IMPORTRANGE(""https://docs.google.com/spreadsheets/d/1Yj_ptqi66GCucihVvJfMjLAmec39IyEx_6qawtMGysU/edit?usp=sharing"",""สบก!CK67"")"),32250)</f>
        <v>32250</v>
      </c>
      <c r="N275" s="169">
        <f ca="1">IFERROR(__xludf.DUMMYFUNCTION("IMPORTRANGE(""https://docs.google.com/spreadsheets/d/1Yj_ptqi66GCucihVvJfMjLAmec39IyEx_6qawtMGysU/edit?usp=sharing"",""สบก!CL67"")"),15700)</f>
        <v>15700</v>
      </c>
      <c r="O275" s="169">
        <f ca="1">IF(L275&gt;0,N275*100/L275,0)</f>
        <v>28.442028985507246</v>
      </c>
      <c r="P275" s="169">
        <f ca="1">IF(M275&gt;0,N275*100/M275,0)</f>
        <v>48.68217054263566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IFERROR(__xludf.DUMMYFUNCTION("IMPORTRANGE(""https://docs.google.com/spreadsheets/d/1SX6NBoVAgQJ6U1MVXOaj8PK2l7WJ3RER9xtqwdhxkhw/edit?usp=sharing"",""ปทุมธานี!J197"")"),0)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IFERROR(__xludf.DUMMYFUNCTION("IMPORTRANGE(""https://docs.google.com/spreadsheets/d/1SX6NBoVAgQJ6U1MVXOaj8PK2l7WJ3RER9xtqwdhxkhw/edit?usp=sharing"",""ปทุมธานี!I199"")"),0)</f>
        <v>0</v>
      </c>
      <c r="J289" s="316">
        <f ca="1">IFERROR(__xludf.DUMMYFUNCTION("IMPORTRANGE(""https://docs.google.com/spreadsheets/d/1SX6NBoVAgQJ6U1MVXOaj8PK2l7WJ3RER9xtqwdhxkhw/edit?usp=sharing"",""ปทุมธานี!J199"")"),0)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IFERROR(__xludf.DUMMYFUNCTION("IMPORTRANGE(""https://docs.google.com/spreadsheets/d/1SX6NBoVAgQJ6U1MVXOaj8PK2l7WJ3RER9xtqwdhxkhw/edit?usp=sharing"",""ปทุมธานี!J213"")"),0)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IFERROR(__xludf.DUMMYFUNCTION("IMPORTRANGE(""https://docs.google.com/spreadsheets/d/1SX6NBoVAgQJ6U1MVXOaj8PK2l7WJ3RER9xtqwdhxkhw/edit?usp=sharing"",""ปทุมธานี!I214"")"),0)</f>
        <v>0</v>
      </c>
      <c r="J309" s="333">
        <f ca="1">IFERROR(__xludf.DUMMYFUNCTION("IMPORTRANGE(""https://docs.google.com/spreadsheets/d/1SX6NBoVAgQJ6U1MVXOaj8PK2l7WJ3RER9xtqwdhxkhw/edit?usp=sharing"",""ปทุมธานี!J214"")"),0)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IFERROR(__xludf.DUMMYFUNCTION("IMPORTRANGE(""https://docs.google.com/spreadsheets/d/1SX6NBoVAgQJ6U1MVXOaj8PK2l7WJ3RER9xtqwdhxkhw/edit?usp=sharing"",""ปทุมธานี!J226"")"),0)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IFERROR(__xludf.DUMMYFUNCTION("IMPORTRANGE(""https://docs.google.com/spreadsheets/d/1SX6NBoVAgQJ6U1MVXOaj8PK2l7WJ3RER9xtqwdhxkhw/edit?usp=sharing"",""ปทุมธานี!I228"")"),0)</f>
        <v>0</v>
      </c>
      <c r="J328" s="339">
        <f ca="1">IFERROR(__xludf.DUMMYFUNCTION("IMPORTRANGE(""https://docs.google.com/spreadsheets/d/1SX6NBoVAgQJ6U1MVXOaj8PK2l7WJ3RER9xtqwdhxkhw/edit?usp=sharing"",""ปทุมธานี!J228"")"),0)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570980</v>
      </c>
      <c r="M329" s="152">
        <f t="shared" ca="1" si="98"/>
        <v>417690</v>
      </c>
      <c r="N329" s="152">
        <f t="shared" ca="1" si="98"/>
        <v>189073.34</v>
      </c>
      <c r="O329" s="151">
        <f t="shared" ref="O329:O331" ca="1" si="99">IF(L329&gt;0,N329*100/L329,0)</f>
        <v>33.11382885565169</v>
      </c>
      <c r="P329" s="151">
        <f t="shared" ref="P329:P331" ca="1" si="100">IF(M329&gt;0,N329*100/M329,0)</f>
        <v>45.266427254662545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570980</v>
      </c>
      <c r="M331" s="157">
        <f t="shared" ca="1" si="102"/>
        <v>417690</v>
      </c>
      <c r="N331" s="157">
        <f t="shared" ca="1" si="102"/>
        <v>189073.34</v>
      </c>
      <c r="O331" s="156">
        <f t="shared" ca="1" si="99"/>
        <v>33.11382885565169</v>
      </c>
      <c r="P331" s="156">
        <f t="shared" ca="1" si="100"/>
        <v>45.266427254662545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570980</v>
      </c>
      <c r="M333" s="168">
        <f ca="1">IFERROR(__xludf.DUMMYFUNCTION("IMPORTRANGE(""https://docs.google.com/spreadsheets/d/1Yj_ptqi66GCucihVvJfMjLAmec39IyEx_6qawtMGysU/edit?usp=sharing"",""สบก!DL67"")"),417690)</f>
        <v>417690</v>
      </c>
      <c r="N333" s="169">
        <f ca="1">IFERROR(__xludf.DUMMYFUNCTION("IMPORTRANGE(""https://docs.google.com/spreadsheets/d/1Yj_ptqi66GCucihVvJfMjLAmec39IyEx_6qawtMGysU/edit?usp=sharing"",""สบก!DM67"")"),189073.34)</f>
        <v>189073.34</v>
      </c>
      <c r="O333" s="169">
        <f ca="1">IF(L333&gt;0,N333*100/L333,0)</f>
        <v>33.11382885565169</v>
      </c>
      <c r="P333" s="169">
        <f ca="1">IF(M333&gt;0,N333*100/M333,0)</f>
        <v>45.266427254662545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IFERROR(__xludf.DUMMYFUNCTION("IMPORTRANGE(""https://docs.google.com/spreadsheets/d/1SX6NBoVAgQJ6U1MVXOaj8PK2l7WJ3RER9xtqwdhxkhw/edit?usp=sharing"",""ปทุมธานี!M242"")"),357283.03)</f>
        <v>357283.03</v>
      </c>
      <c r="O347" s="358">
        <f ca="1">+IF(L347&gt;0,N347*100/L347,0)</f>
        <v>63.136480588100163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IFERROR(__xludf.DUMMYFUNCTION("IMPORTRANGE(""https://docs.google.com/spreadsheets/d/1SX6NBoVAgQJ6U1MVXOaj8PK2l7WJ3RER9xtqwdhxkhw/edit?usp=sharing"",""ปทุมธานี!M244"")"),22660.01)</f>
        <v>22660.01</v>
      </c>
      <c r="O349" s="373">
        <f ca="1">+IF(L349&gt;0,N349*100/L349,0)</f>
        <v>48.049215436810854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IFERROR(__xludf.DUMMYFUNCTION("IMPORTRANGE(""https://docs.google.com/spreadsheets/d/1SX6NBoVAgQJ6U1MVXOaj8PK2l7WJ3RER9xtqwdhxkhw/edit?usp=sharing"",""ปทุมธานี!L247"")"),47160)</f>
        <v>47160</v>
      </c>
      <c r="M352" s="165"/>
      <c r="N352" s="164">
        <f ca="1">IFERROR(__xludf.DUMMYFUNCTION("IMPORTRANGE(""https://docs.google.com/spreadsheets/d/1SX6NBoVAgQJ6U1MVXOaj8PK2l7WJ3RER9xtqwdhxkhw/edit?usp=sharing"",""ปทุมธานี!M247"")"),22660.01)</f>
        <v>22660.01</v>
      </c>
      <c r="O352" s="165">
        <f t="shared" ca="1" si="105"/>
        <v>48.049215436810854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IFERROR(__xludf.DUMMYFUNCTION("IMPORTRANGE(""https://docs.google.com/spreadsheets/d/1SX6NBoVAgQJ6U1MVXOaj8PK2l7WJ3RER9xtqwdhxkhw/edit?usp=sharing"",""ปทุมธานี!L249"")"),47160)</f>
        <v>47160</v>
      </c>
      <c r="M354" s="169"/>
      <c r="N354" s="168">
        <f ca="1">IFERROR(__xludf.DUMMYFUNCTION("IMPORTRANGE(""https://docs.google.com/spreadsheets/d/1SX6NBoVAgQJ6U1MVXOaj8PK2l7WJ3RER9xtqwdhxkhw/edit?usp=sharing"",""ปทุมธานี!M249"")"),22660.01)</f>
        <v>22660.01</v>
      </c>
      <c r="O354" s="169">
        <f t="shared" ca="1" si="105"/>
        <v>48.049215436810854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IFERROR(__xludf.DUMMYFUNCTION("IMPORTRANGE(""https://docs.google.com/spreadsheets/d/1SX6NBoVAgQJ6U1MVXOaj8PK2l7WJ3RER9xtqwdhxkhw/edit?usp=sharing"",""ปทุมธานี!M250"")"),12760.01)</f>
        <v>12760.01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IFERROR(__xludf.DUMMYFUNCTION("IMPORTRANGE(""https://docs.google.com/spreadsheets/d/1SX6NBoVAgQJ6U1MVXOaj8PK2l7WJ3RER9xtqwdhxkhw/edit?usp=sharing"",""ปทุมธานี!M253"")"),9900)</f>
        <v>9900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IFERROR(__xludf.DUMMYFUNCTION("IMPORTRANGE(""https://docs.google.com/spreadsheets/d/1SX6NBoVAgQJ6U1MVXOaj8PK2l7WJ3RER9xtqwdhxkhw/edit?usp=sharing"",""ปทุมธานี!J274"")"),0)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IFERROR(__xludf.DUMMYFUNCTION("IMPORTRANGE(""https://docs.google.com/spreadsheets/d/1SX6NBoVAgQJ6U1MVXOaj8PK2l7WJ3RER9xtqwdhxkhw/edit?usp=sharing"",""ปทุมธานี!M275"")"),46559)</f>
        <v>46559</v>
      </c>
      <c r="O380" s="373">
        <f ca="1">+IF(L380&gt;0,N380*100/L380,0)</f>
        <v>53.082886785999314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IFERROR(__xludf.DUMMYFUNCTION("IMPORTRANGE(""https://docs.google.com/spreadsheets/d/1SX6NBoVAgQJ6U1MVXOaj8PK2l7WJ3RER9xtqwdhxkhw/edit?usp=sharing"",""ปทุมธานี!M278"")"),46559)</f>
        <v>46559</v>
      </c>
      <c r="O383" s="165">
        <f t="shared" ca="1" si="109"/>
        <v>53.082886785999314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IFERROR(__xludf.DUMMYFUNCTION("IMPORTRANGE(""https://docs.google.com/spreadsheets/d/1SX6NBoVAgQJ6U1MVXOaj8PK2l7WJ3RER9xtqwdhxkhw/edit?usp=sharing"",""ปทุมธานี!M280"")"),46559)</f>
        <v>46559</v>
      </c>
      <c r="O385" s="169">
        <f t="shared" ca="1" si="109"/>
        <v>53.082886785999314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IFERROR(__xludf.DUMMYFUNCTION("IMPORTRANGE(""https://docs.google.com/spreadsheets/d/1SX6NBoVAgQJ6U1MVXOaj8PK2l7WJ3RER9xtqwdhxkhw/edit?usp=sharing"",""ปทุมธานี!M281"")"),34409)</f>
        <v>34409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IFERROR(__xludf.DUMMYFUNCTION("IMPORTRANGE(""https://docs.google.com/spreadsheets/d/1SX6NBoVAgQJ6U1MVXOaj8PK2l7WJ3RER9xtqwdhxkhw/edit?usp=sharing"",""ปทุมธานี!M284"")"),12150)</f>
        <v>12150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IFERROR(__xludf.DUMMYFUNCTION("IMPORTRANGE(""https://docs.google.com/spreadsheets/d/1SX6NBoVAgQJ6U1MVXOaj8PK2l7WJ3RER9xtqwdhxkhw/edit?usp=sharing"",""ปทุมธานี!J295"")"),0)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IFERROR(__xludf.DUMMYFUNCTION("IMPORTRANGE(""https://docs.google.com/spreadsheets/d/1SX6NBoVAgQJ6U1MVXOaj8PK2l7WJ3RER9xtqwdhxkhw/edit?usp=sharing"",""ปทุมธานี!M296"")"),146880)</f>
        <v>146880</v>
      </c>
      <c r="O401" s="373">
        <f ca="1">+IF(L401&gt;0,N401*100/L401,0)</f>
        <v>78.419647624132409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IFERROR(__xludf.DUMMYFUNCTION("IMPORTRANGE(""https://docs.google.com/spreadsheets/d/1SX6NBoVAgQJ6U1MVXOaj8PK2l7WJ3RER9xtqwdhxkhw/edit?usp=sharing"",""ปทุมธานี!M299"")"),146880)</f>
        <v>146880</v>
      </c>
      <c r="O404" s="169">
        <f t="shared" ca="1" si="112"/>
        <v>78.419647624132409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IFERROR(__xludf.DUMMYFUNCTION("IMPORTRANGE(""https://docs.google.com/spreadsheets/d/1SX6NBoVAgQJ6U1MVXOaj8PK2l7WJ3RER9xtqwdhxkhw/edit?usp=sharing"",""ปทุมธานี!M301"")"),146880)</f>
        <v>146880</v>
      </c>
      <c r="O406" s="169">
        <f t="shared" ca="1" si="112"/>
        <v>78.419647624132409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IFERROR(__xludf.DUMMYFUNCTION("IMPORTRANGE(""https://docs.google.com/spreadsheets/d/1SX6NBoVAgQJ6U1MVXOaj8PK2l7WJ3RER9xtqwdhxkhw/edit?usp=sharing"",""ปทุมธานี!M302"")"),132780)</f>
        <v>132780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IFERROR(__xludf.DUMMYFUNCTION("IMPORTRANGE(""https://docs.google.com/spreadsheets/d/1SX6NBoVAgQJ6U1MVXOaj8PK2l7WJ3RER9xtqwdhxkhw/edit?usp=sharing"",""ปทุมธานี!M305"")"),14100)</f>
        <v>14100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IFERROR(__xludf.DUMMYFUNCTION("IMPORTRANGE(""https://docs.google.com/spreadsheets/d/1SX6NBoVAgQJ6U1MVXOaj8PK2l7WJ3RER9xtqwdhxkhw/edit?usp=sharing"",""ปทุมธานี!J329"")"),0)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IFERROR(__xludf.DUMMYFUNCTION("IMPORTRANGE(""https://docs.google.com/spreadsheets/d/1SX6NBoVAgQJ6U1MVXOaj8PK2l7WJ3RER9xtqwdhxkhw/edit?usp=sharing"",""ปทุมธานี!M330"")"),52257)</f>
        <v>52257</v>
      </c>
      <c r="O435" s="412">
        <f t="shared" ref="O435:O439" ca="1" si="114">+IF(L435&gt;0,N435*100/L435,0)</f>
        <v>68.759210526315783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IFERROR(__xludf.DUMMYFUNCTION("IMPORTRANGE(""https://docs.google.com/spreadsheets/d/1SX6NBoVAgQJ6U1MVXOaj8PK2l7WJ3RER9xtqwdhxkhw/edit?usp=sharing"",""ปทุมธานี!M332"")"),52257)</f>
        <v>52257</v>
      </c>
      <c r="O437" s="169">
        <f t="shared" ca="1" si="114"/>
        <v>68.759210526315783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IFERROR(__xludf.DUMMYFUNCTION("IMPORTRANGE(""https://docs.google.com/spreadsheets/d/1SX6NBoVAgQJ6U1MVXOaj8PK2l7WJ3RER9xtqwdhxkhw/edit?usp=sharing"",""ปทุมธานี!M334"")"),52257)</f>
        <v>52257</v>
      </c>
      <c r="O439" s="169">
        <f t="shared" ca="1" si="114"/>
        <v>68.759210526315783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IFERROR(__xludf.DUMMYFUNCTION("IMPORTRANGE(""https://docs.google.com/spreadsheets/d/1SX6NBoVAgQJ6U1MVXOaj8PK2l7WJ3RER9xtqwdhxkhw/edit?usp=sharing"",""ปทุมธานี!M335"")"),43257)</f>
        <v>43257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IFERROR(__xludf.DUMMYFUNCTION("IMPORTRANGE(""https://docs.google.com/spreadsheets/d/1SX6NBoVAgQJ6U1MVXOaj8PK2l7WJ3RER9xtqwdhxkhw/edit?usp=sharing"",""ปทุมธานี!M338"")"),9000)</f>
        <v>9000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IFERROR(__xludf.DUMMYFUNCTION("IMPORTRANGE(""https://docs.google.com/spreadsheets/d/1SX6NBoVAgQJ6U1MVXOaj8PK2l7WJ3RER9xtqwdhxkhw/edit?usp=sharing"",""ปทุมธานี!J349"")"),0)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IFERROR(__xludf.DUMMYFUNCTION("IMPORTRANGE(""https://docs.google.com/spreadsheets/d/1SX6NBoVAgQJ6U1MVXOaj8PK2l7WJ3RER9xtqwdhxkhw/edit?usp=sharing"",""ปทุมธานี!I359"")"),0)</f>
        <v>0</v>
      </c>
      <c r="J464" s="267">
        <f ca="1">IFERROR(__xludf.DUMMYFUNCTION("IMPORTRANGE(""https://docs.google.com/spreadsheets/d/1SX6NBoVAgQJ6U1MVXOaj8PK2l7WJ3RER9xtqwdhxkhw/edit?usp=sharing"",""ปทุมธานี!J359"")"),0)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IFERROR(__xludf.DUMMYFUNCTION("IMPORTRANGE(""https://docs.google.com/spreadsheets/d/1SX6NBoVAgQJ6U1MVXOaj8PK2l7WJ3RER9xtqwdhxkhw/edit?usp=sharing"",""ปทุมธานี!I411"")"),0)</f>
        <v>0</v>
      </c>
      <c r="J516" s="267">
        <f ca="1">IFERROR(__xludf.DUMMYFUNCTION("IMPORTRANGE(""https://docs.google.com/spreadsheets/d/1SX6NBoVAgQJ6U1MVXOaj8PK2l7WJ3RER9xtqwdhxkhw/edit?usp=sharing"",""ปทุมธานี!J411"")"),0)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IFERROR(__xludf.DUMMYFUNCTION("IMPORTRANGE(""https://docs.google.com/spreadsheets/d/1SX6NBoVAgQJ6U1MVXOaj8PK2l7WJ3RER9xtqwdhxkhw/edit?usp=sharing"",""ปทุมธานี!I412"")"),0)</f>
        <v>0</v>
      </c>
      <c r="J517" s="284">
        <f ca="1">IFERROR(__xludf.DUMMYFUNCTION("IMPORTRANGE(""https://docs.google.com/spreadsheets/d/1SX6NBoVAgQJ6U1MVXOaj8PK2l7WJ3RER9xtqwdhxkhw/edit?usp=sharing"",""ปทุมธานี!J412"")"),0)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IFERROR(__xludf.DUMMYFUNCTION("IMPORTRANGE(""https://docs.google.com/spreadsheets/d/1SX6NBoVAgQJ6U1MVXOaj8PK2l7WJ3RER9xtqwdhxkhw/edit?usp=sharing"",""ปทุมธานี!I413"")"),0)</f>
        <v>0</v>
      </c>
      <c r="J518" s="284">
        <f ca="1">IFERROR(__xludf.DUMMYFUNCTION("IMPORTRANGE(""https://docs.google.com/spreadsheets/d/1SX6NBoVAgQJ6U1MVXOaj8PK2l7WJ3RER9xtqwdhxkhw/edit?usp=sharing"",""ปทุมธานี!J413"")"),0)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IFERROR(__xludf.DUMMYFUNCTION("IMPORTRANGE(""https://docs.google.com/spreadsheets/d/1SX6NBoVAgQJ6U1MVXOaj8PK2l7WJ3RER9xtqwdhxkhw/edit?usp=sharing"",""ปทุมธานี!I420"")"),0)</f>
        <v>0</v>
      </c>
      <c r="J525" s="284">
        <f ca="1">IFERROR(__xludf.DUMMYFUNCTION("IMPORTRANGE(""https://docs.google.com/spreadsheets/d/1SX6NBoVAgQJ6U1MVXOaj8PK2l7WJ3RER9xtqwdhxkhw/edit?usp=sharing"",""ปทุมธานี!J420"")"),0)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IFERROR(__xludf.DUMMYFUNCTION("IMPORTRANGE(""https://docs.google.com/spreadsheets/d/1SX6NBoVAgQJ6U1MVXOaj8PK2l7WJ3RER9xtqwdhxkhw/edit?usp=sharing"",""ปทุมธานี!I421"")"),0)</f>
        <v>0</v>
      </c>
      <c r="J526" s="284">
        <f ca="1">IFERROR(__xludf.DUMMYFUNCTION("IMPORTRANGE(""https://docs.google.com/spreadsheets/d/1SX6NBoVAgQJ6U1MVXOaj8PK2l7WJ3RER9xtqwdhxkhw/edit?usp=sharing"",""ปทุมธานี!J421"")"),0)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IFERROR(__xludf.DUMMYFUNCTION("IMPORTRANGE(""https://docs.google.com/spreadsheets/d/1SX6NBoVAgQJ6U1MVXOaj8PK2l7WJ3RER9xtqwdhxkhw/edit?usp=sharing"",""ปทุมธานี!M428"")"),32607.02)</f>
        <v>32607.02</v>
      </c>
      <c r="O533" s="412">
        <f t="shared" ref="O533:O537" ca="1" si="118">+IF(L533&gt;0,N533*100/L533,0)</f>
        <v>94.953465346534657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IFERROR(__xludf.DUMMYFUNCTION("IMPORTRANGE(""https://docs.google.com/spreadsheets/d/1SX6NBoVAgQJ6U1MVXOaj8PK2l7WJ3RER9xtqwdhxkhw/edit?usp=sharing"",""ปทุมธานี!M430"")"),32607.02)</f>
        <v>32607.02</v>
      </c>
      <c r="O535" s="169">
        <f t="shared" ca="1" si="118"/>
        <v>94.953465346534657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IFERROR(__xludf.DUMMYFUNCTION("IMPORTRANGE(""https://docs.google.com/spreadsheets/d/1SX6NBoVAgQJ6U1MVXOaj8PK2l7WJ3RER9xtqwdhxkhw/edit?usp=sharing"",""ปทุมธานี!M432"")"),32607.02)</f>
        <v>32607.02</v>
      </c>
      <c r="O537" s="169">
        <f t="shared" ca="1" si="118"/>
        <v>94.953465346534657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IFERROR(__xludf.DUMMYFUNCTION("IMPORTRANGE(""https://docs.google.com/spreadsheets/d/1SX6NBoVAgQJ6U1MVXOaj8PK2l7WJ3RER9xtqwdhxkhw/edit?usp=sharing"",""ปทุมธานี!M433"")"),21527.02)</f>
        <v>21527.02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IFERROR(__xludf.DUMMYFUNCTION("IMPORTRANGE(""https://docs.google.com/spreadsheets/d/1SX6NBoVAgQJ6U1MVXOaj8PK2l7WJ3RER9xtqwdhxkhw/edit?usp=sharing"",""ปทุมธานี!M436"")"),11080)</f>
        <v>11080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IFERROR(__xludf.DUMMYFUNCTION("IMPORTRANGE(""https://docs.google.com/spreadsheets/d/1SX6NBoVAgQJ6U1MVXOaj8PK2l7WJ3RER9xtqwdhxkhw/edit?usp=sharing"",""ปทุมธานี!J459"")"),832)</f>
        <v>832</v>
      </c>
      <c r="K564" s="372">
        <f ca="1">IF(I564&gt;0,J564*100/I564,0)</f>
        <v>416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IFERROR(__xludf.DUMMYFUNCTION("IMPORTRANGE(""https://docs.google.com/spreadsheets/d/1SX6NBoVAgQJ6U1MVXOaj8PK2l7WJ3RER9xtqwdhxkhw/edit?usp=sharing"",""ปทุมธานี!M459"")"),54860)</f>
        <v>54860</v>
      </c>
      <c r="O564" s="373">
        <f t="shared" ref="O564:O568" ca="1" si="122">+IF(L564&gt;0,N564*100/L564,0)</f>
        <v>43.512055837563452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IFERROR(__xludf.DUMMYFUNCTION("IMPORTRANGE(""https://docs.google.com/spreadsheets/d/1SX6NBoVAgQJ6U1MVXOaj8PK2l7WJ3RER9xtqwdhxkhw/edit?usp=sharing"",""ปทุมธานี!M461"")"),54860)</f>
        <v>54860</v>
      </c>
      <c r="O566" s="169">
        <f t="shared" ca="1" si="122"/>
        <v>43.512055837563452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IFERROR(__xludf.DUMMYFUNCTION("IMPORTRANGE(""https://docs.google.com/spreadsheets/d/1SX6NBoVAgQJ6U1MVXOaj8PK2l7WJ3RER9xtqwdhxkhw/edit?usp=sharing"",""ปทุมธานี!M463"")"),54860)</f>
        <v>54860</v>
      </c>
      <c r="O568" s="169">
        <f t="shared" ca="1" si="122"/>
        <v>43.512055837563452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IFERROR(__xludf.DUMMYFUNCTION("IMPORTRANGE(""https://docs.google.com/spreadsheets/d/1SX6NBoVAgQJ6U1MVXOaj8PK2l7WJ3RER9xtqwdhxkhw/edit?usp=sharing"",""ปทุมธานี!M466"")"),44000)</f>
        <v>44000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IFERROR(__xludf.DUMMYFUNCTION("IMPORTRANGE(""https://docs.google.com/spreadsheets/d/1SX6NBoVAgQJ6U1MVXOaj8PK2l7WJ3RER9xtqwdhxkhw/edit?usp=sharing"",""ปทุมธานี!M467"")"),10860)</f>
        <v>10860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IFERROR(__xludf.DUMMYFUNCTION("IMPORTRANGE(""https://docs.google.com/spreadsheets/d/1SX6NBoVAgQJ6U1MVXOaj8PK2l7WJ3RER9xtqwdhxkhw/edit?usp=sharing"",""ปทุมธานี!J468"")"),832)</f>
        <v>832</v>
      </c>
      <c r="K573" s="202">
        <f ca="1">IF(I573&gt;0,J573*100/I573,0)</f>
        <v>416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IFERROR(__xludf.DUMMYFUNCTION("IMPORTRANGE(""https://docs.google.com/spreadsheets/d/1SX6NBoVAgQJ6U1MVXOaj8PK2l7WJ3RER9xtqwdhxkhw/edit?usp=sharing"",""ปทุมธานี!J472"")"),520)</f>
        <v>520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IFERROR(__xludf.DUMMYFUNCTION("IMPORTRANGE(""https://docs.google.com/spreadsheets/d/1SX6NBoVAgQJ6U1MVXOaj8PK2l7WJ3RER9xtqwdhxkhw/edit?usp=sharing"",""ปทุมธานี!I491"")"),0)</f>
        <v>0</v>
      </c>
      <c r="J596" s="241">
        <f ca="1">IFERROR(__xludf.DUMMYFUNCTION("IMPORTRANGE(""https://docs.google.com/spreadsheets/d/1SX6NBoVAgQJ6U1MVXOaj8PK2l7WJ3RER9xtqwdhxkhw/edit?usp=sharing"",""ปทุมธานี!J491"")"),0)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7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IFERROR(__xludf.DUMMYFUNCTION("IMPORTRANGE(""https://docs.google.com/spreadsheets/d/1SX6NBoVAgQJ6U1MVXOaj8PK2l7WJ3RER9xtqwdhxkhw/edit?usp=sharing"",""ปทุมธานี!I523"")"),980000)</f>
        <v>980000</v>
      </c>
      <c r="J628" s="341">
        <f ca="1">IFERROR(__xludf.DUMMYFUNCTION("IMPORTRANGE(""https://docs.google.com/spreadsheets/d/1SX6NBoVAgQJ6U1MVXOaj8PK2l7WJ3RER9xtqwdhxkhw/edit?usp=sharing"",""ปทุมธานี!J523"")"),720000)</f>
        <v>720000</v>
      </c>
      <c r="K628" s="342">
        <f t="shared" ref="K628:K635" ca="1" si="129">IF(I628&gt;0,J628*100/I628,0)</f>
        <v>73.469387755102048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IFERROR(__xludf.DUMMYFUNCTION("IMPORTRANGE(""https://docs.google.com/spreadsheets/d/1SX6NBoVAgQJ6U1MVXOaj8PK2l7WJ3RER9xtqwdhxkhw/edit?usp=sharing"",""ปทุมธานี!I524"")"),34)</f>
        <v>34</v>
      </c>
      <c r="J629" s="341">
        <f ca="1">IFERROR(__xludf.DUMMYFUNCTION("IMPORTRANGE(""https://docs.google.com/spreadsheets/d/1SX6NBoVAgQJ6U1MVXOaj8PK2l7WJ3RER9xtqwdhxkhw/edit?usp=sharing"",""ปทุมธานี!J524"")"),24)</f>
        <v>24</v>
      </c>
      <c r="K629" s="342">
        <f t="shared" ca="1" si="129"/>
        <v>70.588235294117652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1">
        <f ca="1">IFERROR(__xludf.DUMMYFUNCTION("IMPORTRANGE(""https://docs.google.com/spreadsheets/d/1SX6NBoVAgQJ6U1MVXOaj8PK2l7WJ3RER9xtqwdhxkhw/edit?usp=sharing"",""ปทุมธานี!J525"")"),4999.64)</f>
        <v>4999.6400000000003</v>
      </c>
      <c r="K630" s="342">
        <f t="shared" ca="1" si="129"/>
        <v>3.6362924921372244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IFERROR(__xludf.DUMMYFUNCTION("IMPORTRANGE(""https://docs.google.com/spreadsheets/d/1SX6NBoVAgQJ6U1MVXOaj8PK2l7WJ3RER9xtqwdhxkhw/edit?usp=sharing"",""ปทุมธานี!I526"")"),4)</f>
        <v>4</v>
      </c>
      <c r="J631" s="341">
        <f ca="1">IFERROR(__xludf.DUMMYFUNCTION("IMPORTRANGE(""https://docs.google.com/spreadsheets/d/1SX6NBoVAgQJ6U1MVXOaj8PK2l7WJ3RER9xtqwdhxkhw/edit?usp=sharing"",""ปทุมธานี!J526"")"),1)</f>
        <v>1</v>
      </c>
      <c r="K631" s="342">
        <f t="shared" ca="1" si="129"/>
        <v>25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1">
        <f ca="1">IFERROR(__xludf.DUMMYFUNCTION("IMPORTRANGE(""https://docs.google.com/spreadsheets/d/1SX6NBoVAgQJ6U1MVXOaj8PK2l7WJ3RER9xtqwdhxkhw/edit?usp=sharing"",""ปทุมธานี!J527"")"),1634527.78)</f>
        <v>1634527.78</v>
      </c>
      <c r="K632" s="342">
        <f t="shared" ca="1" si="129"/>
        <v>40.670619826855685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IFERROR(__xludf.DUMMYFUNCTION("IMPORTRANGE(""https://docs.google.com/spreadsheets/d/1SX6NBoVAgQJ6U1MVXOaj8PK2l7WJ3RER9xtqwdhxkhw/edit?usp=sharing"",""ปทุมธานี!I528"")"),2074)</f>
        <v>2074</v>
      </c>
      <c r="J633" s="341">
        <f ca="1">IFERROR(__xludf.DUMMYFUNCTION("IMPORTRANGE(""https://docs.google.com/spreadsheets/d/1SX6NBoVAgQJ6U1MVXOaj8PK2l7WJ3RER9xtqwdhxkhw/edit?usp=sharing"",""ปทุมธานี!J528"")"),1422)</f>
        <v>1422</v>
      </c>
      <c r="K633" s="342">
        <f t="shared" ca="1" si="129"/>
        <v>68.563162970106077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IFERROR(__xludf.DUMMYFUNCTION("IMPORTRANGE(""https://docs.google.com/spreadsheets/d/1SX6NBoVAgQJ6U1MVXOaj8PK2l7WJ3RER9xtqwdhxkhw/edit?usp=sharing"",""ปทุมธานี!I529"")"),960000)</f>
        <v>960000</v>
      </c>
      <c r="J634" s="341">
        <f ca="1">IFERROR(__xludf.DUMMYFUNCTION("IMPORTRANGE(""https://docs.google.com/spreadsheets/d/1SX6NBoVAgQJ6U1MVXOaj8PK2l7WJ3RER9xtqwdhxkhw/edit?usp=sharing"",""ปทุมธานี!J529"")"),780000)</f>
        <v>780000</v>
      </c>
      <c r="K634" s="342">
        <f t="shared" ca="1" si="129"/>
        <v>81.25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IFERROR(__xludf.DUMMYFUNCTION("IMPORTRANGE(""https://docs.google.com/spreadsheets/d/1SX6NBoVAgQJ6U1MVXOaj8PK2l7WJ3RER9xtqwdhxkhw/edit?usp=sharing"",""ปทุมธานี!I530"")"),33)</f>
        <v>33</v>
      </c>
      <c r="J635" s="504">
        <f ca="1">IFERROR(__xludf.DUMMYFUNCTION("IMPORTRANGE(""https://docs.google.com/spreadsheets/d/1SX6NBoVAgQJ6U1MVXOaj8PK2l7WJ3RER9xtqwdhxkhw/edit?usp=sharing"",""ปทุมธานี!J530"")"),24)</f>
        <v>24</v>
      </c>
      <c r="K635" s="486">
        <f t="shared" ca="1" si="129"/>
        <v>72.727272727272734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49650</v>
      </c>
      <c r="M636" s="511"/>
      <c r="N636" s="510">
        <f ca="1">SUM(N637:N638)</f>
        <v>3600</v>
      </c>
      <c r="O636" s="510">
        <f t="shared" ref="O636:O640" ca="1" si="130">+IF(L636&gt;0,N636*100/L636,0)</f>
        <v>7.2507552870090635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49650</v>
      </c>
      <c r="M638" s="521"/>
      <c r="N638" s="522">
        <f ca="1">SUM(N639:N640)</f>
        <v>3600</v>
      </c>
      <c r="O638" s="522">
        <f t="shared" ca="1" si="130"/>
        <v>7.2507552870090635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49650</v>
      </c>
      <c r="M640" s="521"/>
      <c r="N640" s="522">
        <f ca="1">SUM(N641:N644)</f>
        <v>3600</v>
      </c>
      <c r="O640" s="522">
        <f t="shared" ca="1" si="130"/>
        <v>7.2507552870090635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3600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IFERROR(__xludf.DUMMYFUNCTION("IMPORTRANGE(""https://docs.google.com/spreadsheets/d/1SX6NBoVAgQJ6U1MVXOaj8PK2l7WJ3RER9xtqwdhxkhw/edit#gid=346597447"",""ปทุมธานี!J541"")"),0)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IFERROR(__xludf.DUMMYFUNCTION("IMPORTRANGE(""https://docs.google.com/spreadsheets/d/1SX6NBoVAgQJ6U1MVXOaj8PK2l7WJ3RER9xtqwdhxkhw/edit#gid=346597447"",""ปทุมธานี!J542"")"),0)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IFERROR(__xludf.DUMMYFUNCTION("IMPORTRANGE(""https://docs.google.com/spreadsheets/d/1SX6NBoVAgQJ6U1MVXOaj8PK2l7WJ3RER9xtqwdhxkhw/edit#gid=346597447"",""ปทุมธานี!I543"")"),0)</f>
        <v>0</v>
      </c>
      <c r="J648" s="536">
        <f ca="1">IFERROR(__xludf.DUMMYFUNCTION("IMPORTRANGE(""https://docs.google.com/spreadsheets/d/1SX6NBoVAgQJ6U1MVXOaj8PK2l7WJ3RER9xtqwdhxkhw/edit#gid=346597447"",""ปทุมธานี!J543"")"),0)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IFERROR(__xludf.DUMMYFUNCTION("IMPORTRANGE(""https://docs.google.com/spreadsheets/d/1SX6NBoVAgQJ6U1MVXOaj8PK2l7WJ3RER9xtqwdhxkhw/edit#gid=346597447"",""ปทุมธานี!L543"")"),0)</f>
        <v>0</v>
      </c>
      <c r="M648" s="521"/>
      <c r="N648" s="538">
        <f ca="1">IFERROR(__xludf.DUMMYFUNCTION("IMPORTRANGE(""https://docs.google.com/spreadsheets/d/1SX6NBoVAgQJ6U1MVXOaj8PK2l7WJ3RER9xtqwdhxkhw/edit#gid=346597447"",""ปทุมธานี!M543"")"),0)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IFERROR(__xludf.DUMMYFUNCTION("IMPORTRANGE(""https://docs.google.com/spreadsheets/d/1SX6NBoVAgQJ6U1MVXOaj8PK2l7WJ3RER9xtqwdhxkhw/edit#gid=346597447"",""ปทุมธานี!I544"")"),60)</f>
        <v>60</v>
      </c>
      <c r="J649" s="536">
        <f ca="1">IFERROR(__xludf.DUMMYFUNCTION("IMPORTRANGE(""https://docs.google.com/spreadsheets/d/1SX6NBoVAgQJ6U1MVXOaj8PK2l7WJ3RER9xtqwdhxkhw/edit#gid=346597447"",""ปทุมธานี!J544"")"),0)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IFERROR(__xludf.DUMMYFUNCTION("IMPORTRANGE(""https://docs.google.com/spreadsheets/d/1SX6NBoVAgQJ6U1MVXOaj8PK2l7WJ3RER9xtqwdhxkhw/edit#gid=346597447"",""ปทุมธานี!L544"")"),7200)</f>
        <v>7200</v>
      </c>
      <c r="M649" s="521"/>
      <c r="N649" s="538">
        <f ca="1">IFERROR(__xludf.DUMMYFUNCTION("IMPORTRANGE(""https://docs.google.com/spreadsheets/d/1SX6NBoVAgQJ6U1MVXOaj8PK2l7WJ3RER9xtqwdhxkhw/edit#gid=346597447"",""ปทุมธานี!M544"")"),0)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IFERROR(__xludf.DUMMYFUNCTION("IMPORTRANGE(""https://docs.google.com/spreadsheets/d/1SX6NBoVAgQJ6U1MVXOaj8PK2l7WJ3RER9xtqwdhxkhw/edit#gid=346597447"",""ปทุมธานี!I545"")"),125)</f>
        <v>125</v>
      </c>
      <c r="J650" s="536">
        <f ca="1">IFERROR(__xludf.DUMMYFUNCTION("IMPORTRANGE(""https://docs.google.com/spreadsheets/d/1SX6NBoVAgQJ6U1MVXOaj8PK2l7WJ3RER9xtqwdhxkhw/edit#gid=346597447"",""ปทุมธานี!J545"")"),0)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IFERROR(__xludf.DUMMYFUNCTION("IMPORTRANGE(""https://docs.google.com/spreadsheets/d/1SX6NBoVAgQJ6U1MVXOaj8PK2l7WJ3RER9xtqwdhxkhw/edit#gid=346597447"",""ปทุมธานี!L545"")"),625)</f>
        <v>625</v>
      </c>
      <c r="M650" s="521"/>
      <c r="N650" s="538">
        <f ca="1">IFERROR(__xludf.DUMMYFUNCTION("IMPORTRANGE(""https://docs.google.com/spreadsheets/d/1SX6NBoVAgQJ6U1MVXOaj8PK2l7WJ3RER9xtqwdhxkhw/edit#gid=346597447"",""ปทุมธานี!M545"")"),0)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IFERROR(__xludf.DUMMYFUNCTION("IMPORTRANGE(""https://docs.google.com/spreadsheets/d/1SX6NBoVAgQJ6U1MVXOaj8PK2l7WJ3RER9xtqwdhxkhw/edit#gid=346597447"",""ปทุมธานี!I546"")"),505)</f>
        <v>505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IFERROR(__xludf.DUMMYFUNCTION("IMPORTRANGE(""https://docs.google.com/spreadsheets/d/1SX6NBoVAgQJ6U1MVXOaj8PK2l7WJ3RER9xtqwdhxkhw/edit#gid=346597447"",""ปทุมธานี!L546"")"),12625)</f>
        <v>12625</v>
      </c>
      <c r="M651" s="521"/>
      <c r="N651" s="538">
        <f ca="1">IFERROR(__xludf.DUMMYFUNCTION("IMPORTRANGE(""https://docs.google.com/spreadsheets/d/1SX6NBoVAgQJ6U1MVXOaj8PK2l7WJ3RER9xtqwdhxkhw/edit#gid=346597447"",""ปทุมธานี!M546"")"),0)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IFERROR(__xludf.DUMMYFUNCTION("IMPORTRANGE(""https://docs.google.com/spreadsheets/d/1SX6NBoVAgQJ6U1MVXOaj8PK2l7WJ3RER9xtqwdhxkhw/edit#gid=346597447"",""ปทุมธานี!J547"")"),0)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IFERROR(__xludf.DUMMYFUNCTION("IMPORTRANGE(""https://docs.google.com/spreadsheets/d/1SX6NBoVAgQJ6U1MVXOaj8PK2l7WJ3RER9xtqwdhxkhw/edit#gid=346597447"",""ปทุมธานี!J548"")"),0)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IFERROR(__xludf.DUMMYFUNCTION("IMPORTRANGE(""https://docs.google.com/spreadsheets/d/1SX6NBoVAgQJ6U1MVXOaj8PK2l7WJ3RER9xtqwdhxkhw/edit#gid=346597447"",""ปทุมธานี!J550"")"),0)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IFERROR(__xludf.DUMMYFUNCTION("IMPORTRANGE(""https://docs.google.com/spreadsheets/d/1SX6NBoVAgQJ6U1MVXOaj8PK2l7WJ3RER9xtqwdhxkhw/edit#gid=346597447"",""ปทุมธานี!J551"")"),0)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IFERROR(__xludf.DUMMYFUNCTION("IMPORTRANGE(""https://docs.google.com/spreadsheets/d/1SX6NBoVAgQJ6U1MVXOaj8PK2l7WJ3RER9xtqwdhxkhw/edit#gid=346597447"",""ปทุมธานี!J552"")"),0)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IFERROR(__xludf.DUMMYFUNCTION("IMPORTRANGE(""https://docs.google.com/spreadsheets/d/1SX6NBoVAgQJ6U1MVXOaj8PK2l7WJ3RER9xtqwdhxkhw/edit#gid=346597447"",""ปทุมธานี!J553"")"),0)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IFERROR(__xludf.DUMMYFUNCTION("IMPORTRANGE(""https://docs.google.com/spreadsheets/d/1SX6NBoVAgQJ6U1MVXOaj8PK2l7WJ3RER9xtqwdhxkhw/edit#gid=346597447"",""ปทุมธานี!J554"")"),0)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IFERROR(__xludf.DUMMYFUNCTION("IMPORTRANGE(""https://docs.google.com/spreadsheets/d/1SX6NBoVAgQJ6U1MVXOaj8PK2l7WJ3RER9xtqwdhxkhw/edit#gid=346597447"",""ปทุมธานี!J555"")"),0)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IFERROR(__xludf.DUMMYFUNCTION("IMPORTRANGE(""https://docs.google.com/spreadsheets/d/1SX6NBoVAgQJ6U1MVXOaj8PK2l7WJ3RER9xtqwdhxkhw/edit#gid=346597447"",""ปทุมธานี!J556"")"),0)</f>
        <v>0</v>
      </c>
      <c r="K661" s="537"/>
      <c r="L661" s="522">
        <f ca="1">IFERROR(__xludf.DUMMYFUNCTION("IMPORTRANGE(""https://docs.google.com/spreadsheets/d/1SX6NBoVAgQJ6U1MVXOaj8PK2l7WJ3RER9xtqwdhxkhw/edit#gid=346597447"",""ปทุมธานี!L556"")"),6000)</f>
        <v>6000</v>
      </c>
      <c r="M661" s="521"/>
      <c r="N661" s="538">
        <f ca="1">IFERROR(__xludf.DUMMYFUNCTION("IMPORTRANGE(""https://docs.google.com/spreadsheets/d/1SX6NBoVAgQJ6U1MVXOaj8PK2l7WJ3RER9xtqwdhxkhw/edit#gid=346597447"",""ปทุมธานี!M556"")"),2600)</f>
        <v>2600</v>
      </c>
      <c r="O661" s="537">
        <f ca="1">IF(L661&gt;0,N661*100/L661,0)</f>
        <v>43.333333333333336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IFERROR(__xludf.DUMMYFUNCTION("IMPORTRANGE(""https://docs.google.com/spreadsheets/d/1SX6NBoVAgQJ6U1MVXOaj8PK2l7WJ3RER9xtqwdhxkhw/edit#gid=346597447"",""ปทุมธานี!J557"")"),0)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IFERROR(__xludf.DUMMYFUNCTION("IMPORTRANGE(""https://docs.google.com/spreadsheets/d/1SX6NBoVAgQJ6U1MVXOaj8PK2l7WJ3RER9xtqwdhxkhw/edit#gid=346597447"",""ปทุมธานี!I558"")"),150)</f>
        <v>150</v>
      </c>
      <c r="J663" s="536">
        <f ca="1">IFERROR(__xludf.DUMMYFUNCTION("IMPORTRANGE(""https://docs.google.com/spreadsheets/d/1SX6NBoVAgQJ6U1MVXOaj8PK2l7WJ3RER9xtqwdhxkhw/edit#gid=346597447"",""ปทุมธานี!J558"")"),0)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IFERROR(__xludf.DUMMYFUNCTION("IMPORTRANGE(""https://docs.google.com/spreadsheets/d/1SX6NBoVAgQJ6U1MVXOaj8PK2l7WJ3RER9xtqwdhxkhw/edit#gid=346597447"",""ปทุมธานี!I560"")"),30)</f>
        <v>30</v>
      </c>
      <c r="J665" s="536">
        <f ca="1">IFERROR(__xludf.DUMMYFUNCTION("IMPORTRANGE(""https://docs.google.com/spreadsheets/d/1SX6NBoVAgQJ6U1MVXOaj8PK2l7WJ3RER9xtqwdhxkhw/edit#gid=346597447"",""ปทุมธานี!J560"")"),0)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IFERROR(__xludf.DUMMYFUNCTION("IMPORTRANGE(""https://docs.google.com/spreadsheets/d/1SX6NBoVAgQJ6U1MVXOaj8PK2l7WJ3RER9xtqwdhxkhw/edit#gid=346597447"",""ปทุมธานี!L560"")"),3600)</f>
        <v>3600</v>
      </c>
      <c r="M665" s="521"/>
      <c r="N665" s="538">
        <f ca="1">IFERROR(__xludf.DUMMYFUNCTION("IMPORTRANGE(""https://docs.google.com/spreadsheets/d/1SX6NBoVAgQJ6U1MVXOaj8PK2l7WJ3RER9xtqwdhxkhw/edit#gid=346597447"",""ปทุมธานี!M560"")"),0)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IFERROR(__xludf.DUMMYFUNCTION("IMPORTRANGE(""https://docs.google.com/spreadsheets/d/1SX6NBoVAgQJ6U1MVXOaj8PK2l7WJ3RER9xtqwdhxkhw/edit#gid=346597447"",""ปทุมธานี!J561"")"),0)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IFERROR(__xludf.DUMMYFUNCTION("IMPORTRANGE(""https://docs.google.com/spreadsheets/d/1SX6NBoVAgQJ6U1MVXOaj8PK2l7WJ3RER9xtqwdhxkhw/edit#gid=346597447"",""ปทุมธานี!J562"")"),0)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IFERROR(__xludf.DUMMYFUNCTION("IMPORTRANGE(""https://docs.google.com/spreadsheets/d/1SX6NBoVAgQJ6U1MVXOaj8PK2l7WJ3RER9xtqwdhxkhw/edit#gid=346597447"",""ปทุมธานี!I563"")"),30)</f>
        <v>30</v>
      </c>
      <c r="J668" s="536">
        <f ca="1">IFERROR(__xludf.DUMMYFUNCTION("IMPORTRANGE(""https://docs.google.com/spreadsheets/d/1SX6NBoVAgQJ6U1MVXOaj8PK2l7WJ3RER9xtqwdhxkhw/edit#gid=346597447"",""ปทุมธานี!J563"")"),0)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IFERROR(__xludf.DUMMYFUNCTION("IMPORTRANGE(""https://docs.google.com/spreadsheets/d/1SX6NBoVAgQJ6U1MVXOaj8PK2l7WJ3RER9xtqwdhxkhw/edit#gid=346597447"",""ปทุมธานี!L563"")"),15600)</f>
        <v>15600</v>
      </c>
      <c r="M668" s="521"/>
      <c r="N668" s="538">
        <f ca="1">IFERROR(__xludf.DUMMYFUNCTION("IMPORTRANGE(""https://docs.google.com/spreadsheets/d/1SX6NBoVAgQJ6U1MVXOaj8PK2l7WJ3RER9xtqwdhxkhw/edit#gid=346597447"",""ปทุมธานี!M563"")"),1000)</f>
        <v>1000</v>
      </c>
      <c r="O668" s="537">
        <f ca="1">IF(L668&gt;0,N668*100/L668,0)</f>
        <v>6.4102564102564106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IFERROR(__xludf.DUMMYFUNCTION("IMPORTRANGE(""https://docs.google.com/spreadsheets/d/1SX6NBoVAgQJ6U1MVXOaj8PK2l7WJ3RER9xtqwdhxkhw/edit#gid=346597447"",""ปทุมธานี!J564"")"),0)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IFERROR(__xludf.DUMMYFUNCTION("IMPORTRANGE(""https://docs.google.com/spreadsheets/d/1SX6NBoVAgQJ6U1MVXOaj8PK2l7WJ3RER9xtqwdhxkhw/edit#gid=346597447"",""ปทุมธานี!J565"")"),0)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IFERROR(__xludf.DUMMYFUNCTION("IMPORTRANGE(""https://docs.google.com/spreadsheets/d/1SX6NBoVAgQJ6U1MVXOaj8PK2l7WJ3RER9xtqwdhxkhw/edit#gid=346597447"",""ปทุมธานี!I566"")"),50)</f>
        <v>50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IFERROR(__xludf.DUMMYFUNCTION("IMPORTRANGE(""https://docs.google.com/spreadsheets/d/1SX6NBoVAgQJ6U1MVXOaj8PK2l7WJ3RER9xtqwdhxkhw/edit#gid=346597447"",""ปทุมธานี!L566"")"),4000)</f>
        <v>4000</v>
      </c>
      <c r="M671" s="521"/>
      <c r="N671" s="538">
        <f ca="1">IFERROR(__xludf.DUMMYFUNCTION("IMPORTRANGE(""https://docs.google.com/spreadsheets/d/1SX6NBoVAgQJ6U1MVXOaj8PK2l7WJ3RER9xtqwdhxkhw/edit#gid=346597447"",""ปทุมธานี!M566"")"),0)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IFERROR(__xludf.DUMMYFUNCTION("IMPORTRANGE(""https://docs.google.com/spreadsheets/d/1SX6NBoVAgQJ6U1MVXOaj8PK2l7WJ3RER9xtqwdhxkhw/edit#gid=346597447"",""ปทุมธานี!J567"")"),0)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IFERROR(__xludf.DUMMYFUNCTION("IMPORTRANGE(""https://docs.google.com/spreadsheets/d/1SX6NBoVAgQJ6U1MVXOaj8PK2l7WJ3RER9xtqwdhxkhw/edit#gid=346597447"",""ปทุมธานี!J568"")"),0)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IFERROR(__xludf.DUMMYFUNCTION("IMPORTRANGE(""https://docs.google.com/spreadsheets/d/1SX6NBoVAgQJ6U1MVXOaj8PK2l7WJ3RER9xtqwdhxkhw/edit#gid=346597447"",""ปทุมธานี!J569"")"),0)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IFERROR(__xludf.DUMMYFUNCTION("IMPORTRANGE(""https://docs.google.com/spreadsheets/d/1SX6NBoVAgQJ6U1MVXOaj8PK2l7WJ3RER9xtqwdhxkhw/edit#gid=346597447"",""ปทุมธานี!J570"")"),0)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IFERROR(__xludf.DUMMYFUNCTION("IMPORTRANGE(""https://docs.google.com/spreadsheets/d/1SX6NBoVAgQJ6U1MVXOaj8PK2l7WJ3RER9xtqwdhxkhw/edit#gid=346597447"",""ปทุมธานี!J571"")"),0)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IFERROR(__xludf.DUMMYFUNCTION("IMPORTRANGE(""https://docs.google.com/spreadsheets/d/1SX6NBoVAgQJ6U1MVXOaj8PK2l7WJ3RER9xtqwdhxkhw/edit#gid=346597447"",""ปทุมธานี!J572"")"),0)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2920849</v>
      </c>
      <c r="M8" s="23">
        <f t="shared" ca="1" si="0"/>
        <v>1465235</v>
      </c>
      <c r="N8" s="23">
        <f t="shared" ca="1" si="0"/>
        <v>1978472.9700000002</v>
      </c>
      <c r="O8" s="22">
        <f t="shared" ref="O8:O16" ca="1" si="1">IF(L8&gt;0,N8*100/L8,0)</f>
        <v>67.73622908955582</v>
      </c>
      <c r="P8" s="22">
        <f t="shared" ref="P8:P16" ca="1" si="2">IF(M8&gt;0,N8*100/M8,0)</f>
        <v>135.02768975625074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2920849</v>
      </c>
      <c r="M10" s="30">
        <f t="shared" ca="1" si="4"/>
        <v>1465235</v>
      </c>
      <c r="N10" s="30">
        <f t="shared" ca="1" si="4"/>
        <v>1978472.9700000002</v>
      </c>
      <c r="O10" s="29">
        <f t="shared" ca="1" si="1"/>
        <v>67.73622908955582</v>
      </c>
      <c r="P10" s="29">
        <f t="shared" ca="1" si="2"/>
        <v>135.02768975625074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2773849</v>
      </c>
      <c r="M12" s="38">
        <f t="shared" ca="1" si="6"/>
        <v>1318235</v>
      </c>
      <c r="N12" s="38">
        <f t="shared" ca="1" si="6"/>
        <v>1831472.9700000002</v>
      </c>
      <c r="O12" s="38">
        <f t="shared" ca="1" si="1"/>
        <v>66.026412036127425</v>
      </c>
      <c r="P12" s="38">
        <f t="shared" ca="1" si="2"/>
        <v>138.93372350150014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1394349</v>
      </c>
      <c r="M14" s="38">
        <f t="shared" si="8"/>
        <v>0</v>
      </c>
      <c r="N14" s="38">
        <f t="shared" ca="1" si="8"/>
        <v>735635.89</v>
      </c>
      <c r="O14" s="38">
        <f t="shared" ca="1" si="1"/>
        <v>52.758376131083395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1465235</v>
      </c>
      <c r="N18" s="23">
        <f t="shared" ca="1" si="11"/>
        <v>1242837.08</v>
      </c>
      <c r="O18" s="22">
        <f t="shared" ref="O18:O20" ca="1" si="12">IF(L18&gt;0,N18*100/L18,0)</f>
        <v>66.423868695452342</v>
      </c>
      <c r="P18" s="22">
        <f t="shared" ref="P18:P26" ca="1" si="13">IF(M18&gt;0,N18*100/M18,0)</f>
        <v>84.821689353584915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1465235</v>
      </c>
      <c r="N20" s="30">
        <f t="shared" ca="1" si="15"/>
        <v>1242837.08</v>
      </c>
      <c r="O20" s="29">
        <f t="shared" ca="1" si="12"/>
        <v>66.423868695452342</v>
      </c>
      <c r="P20" s="29">
        <f t="shared" ca="1" si="13"/>
        <v>84.821689353584915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1318235</v>
      </c>
      <c r="N22" s="38">
        <f t="shared" ca="1" si="18"/>
        <v>1095837.08</v>
      </c>
      <c r="O22" s="38">
        <f t="shared" ca="1" si="17"/>
        <v>63.561054945564855</v>
      </c>
      <c r="P22" s="38">
        <f t="shared" ca="1" si="13"/>
        <v>83.129114308146882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1049779</v>
      </c>
      <c r="M28" s="23">
        <f t="shared" si="23"/>
        <v>0</v>
      </c>
      <c r="N28" s="23">
        <f t="shared" ca="1" si="23"/>
        <v>735635.89</v>
      </c>
      <c r="O28" s="22">
        <f t="shared" ref="O28:O30" ca="1" si="24">IF(L28&gt;0,N28*100/L28,0)</f>
        <v>70.075310136704957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1049779</v>
      </c>
      <c r="M30" s="30">
        <f t="shared" si="27"/>
        <v>0</v>
      </c>
      <c r="N30" s="30">
        <f t="shared" ca="1" si="27"/>
        <v>735635.89</v>
      </c>
      <c r="O30" s="29">
        <f t="shared" ca="1" si="24"/>
        <v>70.075310136704957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1049779</v>
      </c>
      <c r="M32" s="38">
        <f t="shared" si="30"/>
        <v>0</v>
      </c>
      <c r="N32" s="38">
        <f t="shared" ca="1" si="30"/>
        <v>735635.89</v>
      </c>
      <c r="O32" s="38">
        <f t="shared" ca="1" si="29"/>
        <v>70.075310136704957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1049779</v>
      </c>
      <c r="M34" s="38">
        <f t="shared" si="32"/>
        <v>0</v>
      </c>
      <c r="N34" s="38">
        <f t="shared" ca="1" si="32"/>
        <v>735635.89</v>
      </c>
      <c r="O34" s="38">
        <f t="shared" ca="1" si="29"/>
        <v>70.075310136704957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1465235</v>
      </c>
      <c r="N37" s="54">
        <f t="shared" ca="1" si="33"/>
        <v>1242837.08</v>
      </c>
      <c r="O37" s="55">
        <f t="shared" ca="1" si="29"/>
        <v>66.423868695452342</v>
      </c>
      <c r="P37" s="55">
        <f t="shared" ca="1" si="25"/>
        <v>84.821689353584915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430900</v>
      </c>
      <c r="N41" s="78">
        <f t="shared" ca="1" si="34"/>
        <v>442638.39</v>
      </c>
      <c r="O41" s="77">
        <f t="shared" ref="O41:O43" ca="1" si="35">IF(L41&gt;0,N41*100/L41,0)</f>
        <v>77.061001044568243</v>
      </c>
      <c r="P41" s="77">
        <f t="shared" ref="P41:P43" ca="1" si="36">IF(M41&gt;0,N41*100/M41,0)</f>
        <v>102.72415641680205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430900</v>
      </c>
      <c r="N43" s="78">
        <f t="shared" ca="1" si="38"/>
        <v>442638.39</v>
      </c>
      <c r="O43" s="77">
        <f t="shared" ca="1" si="35"/>
        <v>77.061001044568243</v>
      </c>
      <c r="P43" s="77">
        <f t="shared" ca="1" si="36"/>
        <v>102.72415641680205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IFERROR(__xludf.DUMMYFUNCTION("IMPORTRANGE(""https://docs.google.com/spreadsheets/d/1Yj_ptqi66GCucihVvJfMjLAmec39IyEx_6qawtMGysU/edit?usp=sharing"",""สบก!Q68"")"),430900)</f>
        <v>430900</v>
      </c>
      <c r="N45" s="49">
        <f ca="1">IFERROR(__xludf.DUMMYFUNCTION("IMPORTRANGE(""https://docs.google.com/spreadsheets/d/1Yj_ptqi66GCucihVvJfMjLAmec39IyEx_6qawtMGysU/edit?usp=sharing"",""สบก!R68"")"),442638.39)</f>
        <v>442638.39</v>
      </c>
      <c r="O45" s="38">
        <f ca="1">IF(L45&gt;0,N45*100/L45,0)</f>
        <v>77.061001044568243</v>
      </c>
      <c r="P45" s="38">
        <f ca="1">IF(M45&gt;0,N45*100/M45,0)</f>
        <v>102.72415641680205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238500</v>
      </c>
      <c r="N53" s="121">
        <f t="shared" ca="1" si="39"/>
        <v>196496.77</v>
      </c>
      <c r="O53" s="120">
        <f t="shared" ref="O53:O55" ca="1" si="40">IF(L53&gt;0,N53*100/L53,0)</f>
        <v>65.498923333333337</v>
      </c>
      <c r="P53" s="120">
        <f t="shared" ref="P53:P55" ca="1" si="41">IF(M53&gt;0,N53*100/M53,0)</f>
        <v>82.388582809224317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238500</v>
      </c>
      <c r="N55" s="121">
        <f t="shared" ca="1" si="43"/>
        <v>196496.77</v>
      </c>
      <c r="O55" s="120">
        <f t="shared" ca="1" si="40"/>
        <v>65.498923333333337</v>
      </c>
      <c r="P55" s="120">
        <f t="shared" ca="1" si="41"/>
        <v>82.388582809224317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IFERROR(__xludf.DUMMYFUNCTION("IMPORTRANGE(""https://docs.google.com/spreadsheets/d/1Yj_ptqi66GCucihVvJfMjLAmec39IyEx_6qawtMGysU/edit?usp=sharing"",""สบก!Z68"")"),238500)</f>
        <v>238500</v>
      </c>
      <c r="N57" s="49">
        <f ca="1">IFERROR(__xludf.DUMMYFUNCTION("IMPORTRANGE(""https://docs.google.com/spreadsheets/d/1Yj_ptqi66GCucihVvJfMjLAmec39IyEx_6qawtMGysU/edit?usp=sharing"",""สบก!AA68"")"),196496.77)</f>
        <v>196496.77</v>
      </c>
      <c r="O57" s="38">
        <f ca="1">IF(L57&gt;0,N57*100/L57,0)</f>
        <v>65.498923333333337</v>
      </c>
      <c r="P57" s="38">
        <f ca="1">IF(M57&gt;0,N57*100/M57,0)</f>
        <v>82.388582809224317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279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7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33625</v>
      </c>
      <c r="N140" s="152">
        <f t="shared" ca="1" si="64"/>
        <v>23592</v>
      </c>
      <c r="O140" s="151">
        <f t="shared" ref="O140:O142" ca="1" si="65">IF(L140&gt;0,N140*100/L140,0)</f>
        <v>53.015730337078651</v>
      </c>
      <c r="P140" s="151">
        <f t="shared" ref="P140:P142" ca="1" si="66">IF(M140&gt;0,N140*100/M140,0)</f>
        <v>70.162081784386615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33625</v>
      </c>
      <c r="N142" s="157">
        <f t="shared" ca="1" si="68"/>
        <v>23592</v>
      </c>
      <c r="O142" s="156">
        <f t="shared" ca="1" si="65"/>
        <v>53.015730337078651</v>
      </c>
      <c r="P142" s="156">
        <f t="shared" ca="1" si="66"/>
        <v>70.162081784386615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IFERROR(__xludf.DUMMYFUNCTION("IMPORTRANGE(""https://docs.google.com/spreadsheets/d/1Yj_ptqi66GCucihVvJfMjLAmec39IyEx_6qawtMGysU/edit?usp=sharing"",""สบก!BJ68"")"),33625)</f>
        <v>33625</v>
      </c>
      <c r="N144" s="169">
        <f ca="1">IFERROR(__xludf.DUMMYFUNCTION("IMPORTRANGE(""https://docs.google.com/spreadsheets/d/1Yj_ptqi66GCucihVvJfMjLAmec39IyEx_6qawtMGysU/edit?usp=sharing"",""สบก!BK68"")"),23592)</f>
        <v>23592</v>
      </c>
      <c r="O144" s="169">
        <f ca="1">IF(L144&gt;0,N144*100/L144,0)</f>
        <v>53.015730337078651</v>
      </c>
      <c r="P144" s="169">
        <f ca="1">IF(M144&gt;0,N144*100/M144,0)</f>
        <v>70.162081784386615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5">
        <f ca="1">IFERROR(__xludf.DUMMYFUNCTION("IMPORTRANGE(""https://docs.google.com/spreadsheets/d/1SX6NBoVAgQJ6U1MVXOaj8PK2l7WJ3RER9xtqwdhxkhw/edit?usp=sharing"",""ประจวบคีรีขันธ์!J74"")"),2)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IFERROR(__xludf.DUMMYFUNCTION("IMPORTRANGE(""https://docs.google.com/spreadsheets/d/1SX6NBoVAgQJ6U1MVXOaj8PK2l7WJ3RER9xtqwdhxkhw/edit?usp=sharing"",""ประจวบคีรีขันธ์!J84"")"),45)</f>
        <v>45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IFERROR(__xludf.DUMMYFUNCTION("IMPORTRANGE(""https://docs.google.com/spreadsheets/d/1SX6NBoVAgQJ6U1MVXOaj8PK2l7WJ3RER9xtqwdhxkhw/edit?usp=sharing"",""ประจวบคีรีขันธ์!J85"")"),45)</f>
        <v>45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4">
        <f ca="1">IFERROR(__xludf.DUMMYFUNCTION("IMPORTRANGE(""https://docs.google.com/spreadsheets/d/1SX6NBoVAgQJ6U1MVXOaj8PK2l7WJ3RER9xtqwdhxkhw/edit?usp=sharing"",""ประจวบคีรีขันธ์!J89"")"),1)</f>
        <v>1</v>
      </c>
      <c r="K164" s="285">
        <f ca="1">IF(I164&gt;0,J164*100/I164,0)</f>
        <v>50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IFERROR(__xludf.DUMMYFUNCTION("IMPORTRANGE(""https://docs.google.com/spreadsheets/d/1SX6NBoVAgQJ6U1MVXOaj8PK2l7WJ3RER9xtqwdhxkhw/edit?usp=sharing"",""ประจวบคีรีขันธ์!J98"")"),1)</f>
        <v>1</v>
      </c>
      <c r="K173" s="163">
        <f ca="1">IF(I173&gt;0,J173*100/I173,0)</f>
        <v>50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4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4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4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7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IFERROR(__xludf.DUMMYFUNCTION("IMPORTRANGE(""https://docs.google.com/spreadsheets/d/1Yj_ptqi66GCucihVvJfMjLAmec39IyEx_6qawtMGysU/edit?usp=sharing"",""สบก!BS68"")"),20210)</f>
        <v>20210</v>
      </c>
      <c r="N224" s="169">
        <f ca="1">IFERROR(__xludf.DUMMYFUNCTION("IMPORTRANGE(""https://docs.google.com/spreadsheets/d/1Yj_ptqi66GCucihVvJfMjLAmec39IyEx_6qawtMGysU/edit?usp=sharing"",""สบก!BT68"")"),20210)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7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7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6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6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6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3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39">
        <f ca="1">IFERROR(__xludf.DUMMYFUNCTION("IMPORTRANGE(""https://docs.google.com/spreadsheets/d/1SX6NBoVAgQJ6U1MVXOaj8PK2l7WJ3RER9xtqwdhxkhw/edit?usp=sharing"",""ประจวบคีรีขันธ์!J228"")"),17)</f>
        <v>17</v>
      </c>
      <c r="K328" s="317">
        <f ca="1">IF(I328&gt;0,J328*100/I328,0)</f>
        <v>12.592592592592593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931960</v>
      </c>
      <c r="M329" s="152">
        <f t="shared" ca="1" si="98"/>
        <v>742000</v>
      </c>
      <c r="N329" s="152">
        <f t="shared" ca="1" si="98"/>
        <v>559899.91999999993</v>
      </c>
      <c r="O329" s="151">
        <f t="shared" ref="O329:O331" ca="1" si="99">IF(L329&gt;0,N329*100/L329,0)</f>
        <v>60.077677153525897</v>
      </c>
      <c r="P329" s="151">
        <f t="shared" ref="P329:P331" ca="1" si="100">IF(M329&gt;0,N329*100/M329,0)</f>
        <v>75.458210242587597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931960</v>
      </c>
      <c r="M331" s="157">
        <f t="shared" ca="1" si="102"/>
        <v>742000</v>
      </c>
      <c r="N331" s="157">
        <f t="shared" ca="1" si="102"/>
        <v>559899.91999999993</v>
      </c>
      <c r="O331" s="156">
        <f t="shared" ca="1" si="99"/>
        <v>60.077677153525897</v>
      </c>
      <c r="P331" s="156">
        <f t="shared" ca="1" si="100"/>
        <v>75.458210242587597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784960</v>
      </c>
      <c r="M333" s="168">
        <f ca="1">IFERROR(__xludf.DUMMYFUNCTION("IMPORTRANGE(""https://docs.google.com/spreadsheets/d/1Yj_ptqi66GCucihVvJfMjLAmec39IyEx_6qawtMGysU/edit?usp=sharing"",""สบก!DL68"")"),595000)</f>
        <v>595000</v>
      </c>
      <c r="N333" s="169">
        <f ca="1">IFERROR(__xludf.DUMMYFUNCTION("IMPORTRANGE(""https://docs.google.com/spreadsheets/d/1Yj_ptqi66GCucihVvJfMjLAmec39IyEx_6qawtMGysU/edit?usp=sharing"",""สบก!DM68"")"),412899.92)</f>
        <v>412899.92</v>
      </c>
      <c r="O333" s="169">
        <f ca="1">IF(L333&gt;0,N333*100/L333,0)</f>
        <v>52.601396249490421</v>
      </c>
      <c r="P333" s="169">
        <f ca="1">IF(M333&gt;0,N333*100/M333,0)</f>
        <v>69.394944537815121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IFERROR(__xludf.DUMMYFUNCTION("IMPORTRANGE(""https://docs.google.com/spreadsheets/d/1Yj_ptqi66GCucihVvJfMjLAmec39IyEx_6qawtMGysU/edit?usp=sharing"",""สบก!DI68"")"),279860)</f>
        <v>279860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IFERROR(__xludf.DUMMYFUNCTION("IMPORTRANGE(""https://docs.google.com/spreadsheets/d/1SX6NBoVAgQJ6U1MVXOaj8PK2l7WJ3RER9xtqwdhxkhw/edit?usp=sharing"",""ประจวบคีรีขันธ์!J234"")"),46)</f>
        <v>46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IFERROR(__xludf.DUMMYFUNCTION("IMPORTRANGE(""https://docs.google.com/spreadsheets/d/1SX6NBoVAgQJ6U1MVXOaj8PK2l7WJ3RER9xtqwdhxkhw/edit?usp=sharing"",""ประจวบคีรีขันธ์!J235"")"),239.94)</f>
        <v>239.94</v>
      </c>
      <c r="K340" s="342">
        <f t="shared" ca="1" si="103"/>
        <v>30.761538461538461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IFERROR(__xludf.DUMMYFUNCTION("IMPORTRANGE(""https://docs.google.com/spreadsheets/d/1SX6NBoVAgQJ6U1MVXOaj8PK2l7WJ3RER9xtqwdhxkhw/edit?usp=sharing"",""ประจวบคีรีขันธ์!J236"")"),21)</f>
        <v>21</v>
      </c>
      <c r="K341" s="342">
        <f t="shared" ca="1" si="103"/>
        <v>15.555555555555555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IFERROR(__xludf.DUMMYFUNCTION("IMPORTRANGE(""https://docs.google.com/spreadsheets/d/1SX6NBoVAgQJ6U1MVXOaj8PK2l7WJ3RER9xtqwdhxkhw/edit?usp=sharing"",""ประจวบคีรีขันธ์!J237"")"),228.56)</f>
        <v>228.56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IFERROR(__xludf.DUMMYFUNCTION("IMPORTRANGE(""https://docs.google.com/spreadsheets/d/1SX6NBoVAgQJ6U1MVXOaj8PK2l7WJ3RER9xtqwdhxkhw/edit?usp=sharing"",""ประจวบคีรีขันธ์!J238"")"),1)</f>
        <v>1</v>
      </c>
      <c r="K343" s="342">
        <f t="shared" ca="1" si="103"/>
        <v>0.7407407407407407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IFERROR(__xludf.DUMMYFUNCTION("IMPORTRANGE(""https://docs.google.com/spreadsheets/d/1SX6NBoVAgQJ6U1MVXOaj8PK2l7WJ3RER9xtqwdhxkhw/edit?usp=sharing"",""ประจวบคีรีขันธ์!J239"")"),6.69)</f>
        <v>6.69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IFERROR(__xludf.DUMMYFUNCTION("IMPORTRANGE(""https://docs.google.com/spreadsheets/d/1SX6NBoVAgQJ6U1MVXOaj8PK2l7WJ3RER9xtqwdhxkhw/edit?usp=sharing"",""ประจวบคีรีขันธ์!J240"")"),17)</f>
        <v>17</v>
      </c>
      <c r="K345" s="342">
        <f t="shared" ca="1" si="103"/>
        <v>12.592592592592593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IFERROR(__xludf.DUMMYFUNCTION("IMPORTRANGE(""https://docs.google.com/spreadsheets/d/1SX6NBoVAgQJ6U1MVXOaj8PK2l7WJ3RER9xtqwdhxkhw/edit?usp=sharing"",""ประจวบคีรีขันธ์!J241"")"),197.91)</f>
        <v>197.91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IFERROR(__xludf.DUMMYFUNCTION("IMPORTRANGE(""https://docs.google.com/spreadsheets/d/1SX6NBoVAgQJ6U1MVXOaj8PK2l7WJ3RER9xtqwdhxkhw/edit?usp=sharing"",""ประจวบคีรีขันธ์!M242"")"),735635.89)</f>
        <v>735635.89</v>
      </c>
      <c r="O347" s="358">
        <f ca="1">+IF(L347&gt;0,N347*100/L347,0)</f>
        <v>70.075310136704957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IFERROR(__xludf.DUMMYFUNCTION("IMPORTRANGE(""https://docs.google.com/spreadsheets/d/1SX6NBoVAgQJ6U1MVXOaj8PK2l7WJ3RER9xtqwdhxkhw/edit?usp=sharing"",""ประจวบคีรีขันธ์!M275"")"),451125)</f>
        <v>451125</v>
      </c>
      <c r="O380" s="373">
        <f ca="1">+IF(L380&gt;0,N380*100/L380,0)</f>
        <v>98.040813665406176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IFERROR(__xludf.DUMMYFUNCTION("IMPORTRANGE(""https://docs.google.com/spreadsheets/d/1SX6NBoVAgQJ6U1MVXOaj8PK2l7WJ3RER9xtqwdhxkhw/edit?usp=sharing"",""ประจวบคีรีขันธ์!M278"")"),451125)</f>
        <v>451125</v>
      </c>
      <c r="O383" s="165">
        <f t="shared" ca="1" si="109"/>
        <v>98.040813665406176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IFERROR(__xludf.DUMMYFUNCTION("IMPORTRANGE(""https://docs.google.com/spreadsheets/d/1SX6NBoVAgQJ6U1MVXOaj8PK2l7WJ3RER9xtqwdhxkhw/edit?usp=sharing"",""ประจวบคีรีขันธ์!M280"")"),451125)</f>
        <v>451125</v>
      </c>
      <c r="O385" s="169">
        <f t="shared" ca="1" si="109"/>
        <v>98.040813665406176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IFERROR(__xludf.DUMMYFUNCTION("IMPORTRANGE(""https://docs.google.com/spreadsheets/d/1SX6NBoVAgQJ6U1MVXOaj8PK2l7WJ3RER9xtqwdhxkhw/edit?usp=sharing"",""ประจวบคีรีขันธ์!M284"")"),27625)</f>
        <v>27625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IFERROR(__xludf.DUMMYFUNCTION("IMPORTRANGE(""https://docs.google.com/spreadsheets/d/1SX6NBoVAgQJ6U1MVXOaj8PK2l7WJ3RER9xtqwdhxkhw/edit?usp=sharing"",""ประจวบคีรีขันธ์!M296"")"),95159)</f>
        <v>95159</v>
      </c>
      <c r="O401" s="373">
        <f ca="1">+IF(L401&gt;0,N401*100/L401,0)</f>
        <v>99.580368354960228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IFERROR(__xludf.DUMMYFUNCTION("IMPORTRANGE(""https://docs.google.com/spreadsheets/d/1SX6NBoVAgQJ6U1MVXOaj8PK2l7WJ3RER9xtqwdhxkhw/edit?usp=sharing"",""ประจวบคีรีขันธ์!M299"")"),95159)</f>
        <v>95159</v>
      </c>
      <c r="O404" s="169">
        <f t="shared" ca="1" si="112"/>
        <v>99.580368354960228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IFERROR(__xludf.DUMMYFUNCTION("IMPORTRANGE(""https://docs.google.com/spreadsheets/d/1SX6NBoVAgQJ6U1MVXOaj8PK2l7WJ3RER9xtqwdhxkhw/edit?usp=sharing"",""ประจวบคีรีขันธ์!M301"")"),95159)</f>
        <v>95159</v>
      </c>
      <c r="O406" s="169">
        <f t="shared" ca="1" si="112"/>
        <v>99.580368354960228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IFERROR(__xludf.DUMMYFUNCTION("IMPORTRANGE(""https://docs.google.com/spreadsheets/d/1SX6NBoVAgQJ6U1MVXOaj8PK2l7WJ3RER9xtqwdhxkhw/edit?usp=sharing"",""ประจวบคีรีขันธ์!M305"")"),22319)</f>
        <v>22319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IFERROR(__xludf.DUMMYFUNCTION("IMPORTRANGE(""https://docs.google.com/spreadsheets/d/1SX6NBoVAgQJ6U1MVXOaj8PK2l7WJ3RER9xtqwdhxkhw/edit?usp=sharing"",""ประจวบคีรีขันธ์!M330"")"),71985)</f>
        <v>71985</v>
      </c>
      <c r="O435" s="412">
        <f t="shared" ref="O435:O439" ca="1" si="114">+IF(L435&gt;0,N435*100/L435,0)</f>
        <v>94.71710526315789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IFERROR(__xludf.DUMMYFUNCTION("IMPORTRANGE(""https://docs.google.com/spreadsheets/d/1SX6NBoVAgQJ6U1MVXOaj8PK2l7WJ3RER9xtqwdhxkhw/edit?usp=sharing"",""ประจวบคีรีขันธ์!M332"")"),71985)</f>
        <v>71985</v>
      </c>
      <c r="O437" s="169">
        <f t="shared" ca="1" si="114"/>
        <v>94.71710526315789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IFERROR(__xludf.DUMMYFUNCTION("IMPORTRANGE(""https://docs.google.com/spreadsheets/d/1SX6NBoVAgQJ6U1MVXOaj8PK2l7WJ3RER9xtqwdhxkhw/edit?usp=sharing"",""ประจวบคีรีขันธ์!M334"")"),71985)</f>
        <v>71985</v>
      </c>
      <c r="O439" s="169">
        <f t="shared" ca="1" si="114"/>
        <v>94.71710526315789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IFERROR(__xludf.DUMMYFUNCTION("IMPORTRANGE(""https://docs.google.com/spreadsheets/d/1SX6NBoVAgQJ6U1MVXOaj8PK2l7WJ3RER9xtqwdhxkhw/edit?usp=sharing"",""ประจวบคีรีขันธ์!M338"")"),51785)</f>
        <v>51785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IFERROR(__xludf.DUMMYFUNCTION("IMPORTRANGE(""https://docs.google.com/spreadsheets/d/1SX6NBoVAgQJ6U1MVXOaj8PK2l7WJ3RER9xtqwdhxkhw/edit?usp=sharing"",""ประจวบคีรีขันธ์!M350"")"),26199)</f>
        <v>26199</v>
      </c>
      <c r="O455" s="373">
        <f t="shared" ref="O455:O459" ca="1" si="116">+IF(L455&gt;0,N455*100/L455,0)</f>
        <v>10.263290881383952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IFERROR(__xludf.DUMMYFUNCTION("IMPORTRANGE(""https://docs.google.com/spreadsheets/d/1SX6NBoVAgQJ6U1MVXOaj8PK2l7WJ3RER9xtqwdhxkhw/edit?usp=sharing"",""ประจวบคีรีขันธ์!M352"")"),26199)</f>
        <v>26199</v>
      </c>
      <c r="O457" s="169">
        <f t="shared" ca="1" si="116"/>
        <v>10.263290881383952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IFERROR(__xludf.DUMMYFUNCTION("IMPORTRANGE(""https://docs.google.com/spreadsheets/d/1SX6NBoVAgQJ6U1MVXOaj8PK2l7WJ3RER9xtqwdhxkhw/edit?usp=sharing"",""ประจวบคีรีขันธ์!M354"")"),26199)</f>
        <v>26199</v>
      </c>
      <c r="O459" s="169">
        <f t="shared" ca="1" si="116"/>
        <v>10.263290881383952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IFERROR(__xludf.DUMMYFUNCTION("IMPORTRANGE(""https://docs.google.com/spreadsheets/d/1SX6NBoVAgQJ6U1MVXOaj8PK2l7WJ3RER9xtqwdhxkhw/edit?usp=sharing"",""ประจวบคีรีขันธ์!M358"")"),26199)</f>
        <v>26199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7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IFERROR(__xludf.DUMMYFUNCTION("IMPORTRANGE(""https://docs.google.com/spreadsheets/d/1SX6NBoVAgQJ6U1MVXOaj8PK2l7WJ3RER9xtqwdhxkhw/edit?usp=sharing"",""ประจวบคีรีขันธ์!J362"")"),14932)</f>
        <v>14932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IFERROR(__xludf.DUMMYFUNCTION("IMPORTRANGE(""https://docs.google.com/spreadsheets/d/1SX6NBoVAgQJ6U1MVXOaj8PK2l7WJ3RER9xtqwdhxkhw/edit?usp=sharing"",""ประจวบคีรีขันธ์!J363"")"),1508)</f>
        <v>1508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IFERROR(__xludf.DUMMYFUNCTION("IMPORTRANGE(""https://docs.google.com/spreadsheets/d/1SX6NBoVAgQJ6U1MVXOaj8PK2l7WJ3RER9xtqwdhxkhw/edit?usp=sharing"",""ประจวบคีรีขันธ์!J366"")"),362)</f>
        <v>362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IFERROR(__xludf.DUMMYFUNCTION("IMPORTRANGE(""https://docs.google.com/spreadsheets/d/1SX6NBoVAgQJ6U1MVXOaj8PK2l7WJ3RER9xtqwdhxkhw/edit?usp=sharing"",""ประจวบคีรีขันธ์!J367"")"),46)</f>
        <v>46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7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4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4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4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4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O533" s="412">
        <f t="shared" ref="O533:O537" ca="1" si="118">+IF(L533&gt;0,N533*100/L533,0)</f>
        <v>92.923704135119394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IFERROR(__xludf.DUMMYFUNCTION("IMPORTRANGE(""https://docs.google.com/spreadsheets/d/1SX6NBoVAgQJ6U1MVXOaj8PK2l7WJ3RER9xtqwdhxkhw/edit?usp=sharing"",""ประจวบคีรีขันธ์!M430"")"),31910)</f>
        <v>31910</v>
      </c>
      <c r="O535" s="169">
        <f t="shared" ca="1" si="118"/>
        <v>92.923704135119394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IFERROR(__xludf.DUMMYFUNCTION("IMPORTRANGE(""https://docs.google.com/spreadsheets/d/1SX6NBoVAgQJ6U1MVXOaj8PK2l7WJ3RER9xtqwdhxkhw/edit?usp=sharing"",""ประจวบคีรีขันธ์!M432"")"),31910)</f>
        <v>31910</v>
      </c>
      <c r="O537" s="169">
        <f t="shared" ca="1" si="118"/>
        <v>92.923704135119394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IFERROR(__xludf.DUMMYFUNCTION("IMPORTRANGE(""https://docs.google.com/spreadsheets/d/1SX6NBoVAgQJ6U1MVXOaj8PK2l7WJ3RER9xtqwdhxkhw/edit?usp=sharing"",""ประจวบคีรีขันธ์!M436"")"),13170)</f>
        <v>13170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IFERROR(__xludf.DUMMYFUNCTION("IMPORTRANGE(""https://docs.google.com/spreadsheets/d/1SX6NBoVAgQJ6U1MVXOaj8PK2l7WJ3RER9xtqwdhxkhw/edit?usp=sharing"",""ประจวบคีรีขันธ์!J459"")"),1046)</f>
        <v>1046</v>
      </c>
      <c r="K564" s="372">
        <f ca="1">IF(I564&gt;0,J564*100/I564,0)</f>
        <v>149.42857142857142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IFERROR(__xludf.DUMMYFUNCTION("IMPORTRANGE(""https://docs.google.com/spreadsheets/d/1SX6NBoVAgQJ6U1MVXOaj8PK2l7WJ3RER9xtqwdhxkhw/edit?usp=sharing"",""ประจวบคีรีขันธ์!M459"")"),56327.89)</f>
        <v>56327.89</v>
      </c>
      <c r="O564" s="373">
        <f t="shared" ref="O564:O568" ca="1" si="122">+IF(L564&gt;0,N564*100/L564,0)</f>
        <v>46.352773206056618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IFERROR(__xludf.DUMMYFUNCTION("IMPORTRANGE(""https://docs.google.com/spreadsheets/d/1SX6NBoVAgQJ6U1MVXOaj8PK2l7WJ3RER9xtqwdhxkhw/edit?usp=sharing"",""ประจวบคีรีขันธ์!M461"")"),56327.89)</f>
        <v>56327.89</v>
      </c>
      <c r="O566" s="169">
        <f t="shared" ca="1" si="122"/>
        <v>46.352773206056618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IFERROR(__xludf.DUMMYFUNCTION("IMPORTRANGE(""https://docs.google.com/spreadsheets/d/1SX6NBoVAgQJ6U1MVXOaj8PK2l7WJ3RER9xtqwdhxkhw/edit?usp=sharing"",""ประจวบคีรีขันธ์!M463"")"),56327.89)</f>
        <v>56327.89</v>
      </c>
      <c r="O568" s="169">
        <f t="shared" ca="1" si="122"/>
        <v>46.352773206056618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IFERROR(__xludf.DUMMYFUNCTION("IMPORTRANGE(""https://docs.google.com/spreadsheets/d/1SX6NBoVAgQJ6U1MVXOaj8PK2l7WJ3RER9xtqwdhxkhw/edit?usp=sharing"",""ประจวบคีรีขันธ์!M466"")"),48967.89)</f>
        <v>48967.89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IFERROR(__xludf.DUMMYFUNCTION("IMPORTRANGE(""https://docs.google.com/spreadsheets/d/1SX6NBoVAgQJ6U1MVXOaj8PK2l7WJ3RER9xtqwdhxkhw/edit?usp=sharing"",""ประจวบคีรีขันธ์!M467"")"),7360)</f>
        <v>7360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IFERROR(__xludf.DUMMYFUNCTION("IMPORTRANGE(""https://docs.google.com/spreadsheets/d/1SX6NBoVAgQJ6U1MVXOaj8PK2l7WJ3RER9xtqwdhxkhw/edit?usp=sharing"",""ประจวบคีรีขันธ์!J468"")"),1046)</f>
        <v>1046</v>
      </c>
      <c r="K573" s="202">
        <f ca="1">IF(I573&gt;0,J573*100/I573,0)</f>
        <v>149.42857142857142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IFERROR(__xludf.DUMMYFUNCTION("IMPORTRANGE(""https://docs.google.com/spreadsheets/d/1SX6NBoVAgQJ6U1MVXOaj8PK2l7WJ3RER9xtqwdhxkhw/edit?usp=sharing"",""ประจวบคีรีขันธ์!J471"")"),23)</f>
        <v>23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IFERROR(__xludf.DUMMYFUNCTION("IMPORTRANGE(""https://docs.google.com/spreadsheets/d/1SX6NBoVAgQJ6U1MVXOaj8PK2l7WJ3RER9xtqwdhxkhw/edit?usp=sharing"",""ประจวบคีรีขันธ์!J472"")"),1023)</f>
        <v>1023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IFERROR(__xludf.DUMMYFUNCTION("IMPORTRANGE(""https://docs.google.com/spreadsheets/d/1SX6NBoVAgQJ6U1MVXOaj8PK2l7WJ3RER9xtqwdhxkhw/edit?usp=sharing"",""ประจวบคีรีขันธ์!J475"")"),4)</f>
        <v>4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IFERROR(__xludf.DUMMYFUNCTION("IMPORTRANGE(""https://docs.google.com/spreadsheets/d/1SX6NBoVAgQJ6U1MVXOaj8PK2l7WJ3RER9xtqwdhxkhw/edit?usp=sharing"",""ประจวบคีรีขันธ์!J484"")"),56)</f>
        <v>56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IFERROR(__xludf.DUMMYFUNCTION("IMPORTRANGE(""https://docs.google.com/spreadsheets/d/1SX6NBoVAgQJ6U1MVXOaj8PK2l7WJ3RER9xtqwdhxkhw/edit?usp=sharing"",""ประจวบคีรีขันธ์!J485"")"),8.54)</f>
        <v>8.5399999999999991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IFERROR(__xludf.DUMMYFUNCTION("IMPORTRANGE(""https://docs.google.com/spreadsheets/d/1SX6NBoVAgQJ6U1MVXOaj8PK2l7WJ3RER9xtqwdhxkhw/edit?usp=sharing"",""ประจวบคีรีขันธ์!J486"")"),61)</f>
        <v>61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IFERROR(__xludf.DUMMYFUNCTION("IMPORTRANGE(""https://docs.google.com/spreadsheets/d/1SX6NBoVAgQJ6U1MVXOaj8PK2l7WJ3RER9xtqwdhxkhw/edit?usp=sharing"",""ประจวบคีรีขันธ์!J487"")"),9.57)</f>
        <v>9.57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IFERROR(__xludf.DUMMYFUNCTION("IMPORTRANGE(""https://docs.google.com/spreadsheets/d/1SX6NBoVAgQJ6U1MVXOaj8PK2l7WJ3RER9xtqwdhxkhw/edit?usp=sharing"",""ประจวบคีรีขันธ์!J489"")"),0.17)</f>
        <v>0.17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IFERROR(__xludf.DUMMYFUNCTION("IMPORTRANGE(""https://docs.google.com/spreadsheets/d/1SX6NBoVAgQJ6U1MVXOaj8PK2l7WJ3RER9xtqwdhxkhw/edit?usp=sharing"",""ประจวบคีรีขันธ์!J490"")"),4)</f>
        <v>4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1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7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1">
        <f ca="1">IFERROR(__xludf.DUMMYFUNCTION("IMPORTRANGE(""https://docs.google.com/spreadsheets/d/1SX6NBoVAgQJ6U1MVXOaj8PK2l7WJ3RER9xtqwdhxkhw/edit?usp=sharing"",""ประจวบคีรีขันธ์!J523"")"),1183285.29)</f>
        <v>1183285.29</v>
      </c>
      <c r="K628" s="342">
        <f t="shared" ref="K628:K635" ca="1" si="129">IF(I628&gt;0,J628*100/I628,0)</f>
        <v>61.444048531961514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1">
        <f ca="1">IFERROR(__xludf.DUMMYFUNCTION("IMPORTRANGE(""https://docs.google.com/spreadsheets/d/1SX6NBoVAgQJ6U1MVXOaj8PK2l7WJ3RER9xtqwdhxkhw/edit?usp=sharing"",""ประจวบคีรีขันธ์!J524"")"),87)</f>
        <v>87</v>
      </c>
      <c r="K629" s="342">
        <f t="shared" ca="1" si="129"/>
        <v>60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1">
        <f ca="1">IFERROR(__xludf.DUMMYFUNCTION("IMPORTRANGE(""https://docs.google.com/spreadsheets/d/1SX6NBoVAgQJ6U1MVXOaj8PK2l7WJ3RER9xtqwdhxkhw/edit?usp=sharing"",""ประจวบคีรีขันธ์!J525"")"),59932.61)</f>
        <v>59932.61</v>
      </c>
      <c r="K630" s="342">
        <f t="shared" ca="1" si="129"/>
        <v>18.938712911222037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1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2">
        <f t="shared" ca="1" si="129"/>
        <v>95.454545454545453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1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2">
        <f t="shared" ca="1" si="129"/>
        <v>100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1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2">
        <f t="shared" ca="1" si="129"/>
        <v>100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1">
        <f ca="1">IFERROR(__xludf.DUMMYFUNCTION("IMPORTRANGE(""https://docs.google.com/spreadsheets/d/1SX6NBoVAgQJ6U1MVXOaj8PK2l7WJ3RER9xtqwdhxkhw/edit?usp=sharing"",""ประจวบคีรีขันธ์!J529"")"),0)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4">
        <f ca="1">IFERROR(__xludf.DUMMYFUNCTION("IMPORTRANGE(""https://docs.google.com/spreadsheets/d/1SX6NBoVAgQJ6U1MVXOaj8PK2l7WJ3RER9xtqwdhxkhw/edit?usp=sharing"",""ประจวบคีรีขันธ์!J530"")"),0)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6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1"/>
      <c r="N648" s="538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6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1"/>
      <c r="N649" s="538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6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1"/>
      <c r="N650" s="538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1"/>
      <c r="N651" s="538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7"/>
      <c r="L661" s="522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1"/>
      <c r="N661" s="538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6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6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1"/>
      <c r="N665" s="538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6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1"/>
      <c r="N668" s="538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1"/>
      <c r="N671" s="538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3219801</v>
      </c>
      <c r="M8" s="23">
        <f t="shared" ca="1" si="0"/>
        <v>1947765</v>
      </c>
      <c r="N8" s="23">
        <f t="shared" ca="1" si="0"/>
        <v>1785031.27</v>
      </c>
      <c r="O8" s="22">
        <f t="shared" ref="O8:O16" ca="1" si="1">IF(L8&gt;0,N8*100/L8,0)</f>
        <v>55.439179936896721</v>
      </c>
      <c r="P8" s="22">
        <f t="shared" ref="P8:P16" ca="1" si="2">IF(M8&gt;0,N8*100/M8,0)</f>
        <v>91.645104517228717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3219801</v>
      </c>
      <c r="M10" s="30">
        <f t="shared" ca="1" si="4"/>
        <v>1947765</v>
      </c>
      <c r="N10" s="30">
        <f t="shared" ca="1" si="4"/>
        <v>1785031.27</v>
      </c>
      <c r="O10" s="29">
        <f t="shared" ca="1" si="1"/>
        <v>55.439179936896721</v>
      </c>
      <c r="P10" s="29">
        <f t="shared" ca="1" si="2"/>
        <v>91.645104517228717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3127401</v>
      </c>
      <c r="M12" s="38">
        <f t="shared" ca="1" si="6"/>
        <v>1855365</v>
      </c>
      <c r="N12" s="38">
        <f t="shared" ca="1" si="6"/>
        <v>1692631.27</v>
      </c>
      <c r="O12" s="38">
        <f t="shared" ca="1" si="1"/>
        <v>54.122617150790703</v>
      </c>
      <c r="P12" s="38">
        <f t="shared" ca="1" si="2"/>
        <v>91.229018009933355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1458401</v>
      </c>
      <c r="M14" s="38">
        <f t="shared" si="8"/>
        <v>0</v>
      </c>
      <c r="N14" s="38">
        <f t="shared" ca="1" si="8"/>
        <v>400336</v>
      </c>
      <c r="O14" s="38">
        <f t="shared" ca="1" si="1"/>
        <v>27.450337732900621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2399775</v>
      </c>
      <c r="M18" s="23">
        <f t="shared" ca="1" si="11"/>
        <v>1947765</v>
      </c>
      <c r="N18" s="23">
        <f t="shared" ca="1" si="11"/>
        <v>1384695.27</v>
      </c>
      <c r="O18" s="22">
        <f t="shared" ref="O18:O20" ca="1" si="12">IF(L18&gt;0,N18*100/L18,0)</f>
        <v>57.701045723036536</v>
      </c>
      <c r="P18" s="22">
        <f t="shared" ref="P18:P26" ca="1" si="13">IF(M18&gt;0,N18*100/M18,0)</f>
        <v>71.091495637307375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2399775</v>
      </c>
      <c r="M20" s="30">
        <f t="shared" ca="1" si="15"/>
        <v>1947765</v>
      </c>
      <c r="N20" s="30">
        <f t="shared" ca="1" si="15"/>
        <v>1384695.27</v>
      </c>
      <c r="O20" s="29">
        <f t="shared" ca="1" si="12"/>
        <v>57.701045723036536</v>
      </c>
      <c r="P20" s="29">
        <f t="shared" ca="1" si="13"/>
        <v>71.091495637307375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2307375</v>
      </c>
      <c r="M22" s="41">
        <f t="shared" ca="1" si="18"/>
        <v>1855365</v>
      </c>
      <c r="N22" s="38">
        <f t="shared" ca="1" si="18"/>
        <v>1292295.27</v>
      </c>
      <c r="O22" s="38">
        <f t="shared" ca="1" si="17"/>
        <v>56.007162684869172</v>
      </c>
      <c r="P22" s="38">
        <f t="shared" ca="1" si="13"/>
        <v>69.651808134787501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638375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820026</v>
      </c>
      <c r="M28" s="23">
        <f t="shared" si="23"/>
        <v>0</v>
      </c>
      <c r="N28" s="23">
        <f t="shared" ca="1" si="23"/>
        <v>400336</v>
      </c>
      <c r="O28" s="22">
        <f t="shared" ref="O28:O30" ca="1" si="24">IF(L28&gt;0,N28*100/L28,0)</f>
        <v>48.819915466094976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820026</v>
      </c>
      <c r="M30" s="30">
        <f t="shared" si="27"/>
        <v>0</v>
      </c>
      <c r="N30" s="30">
        <f t="shared" ca="1" si="27"/>
        <v>400336</v>
      </c>
      <c r="O30" s="29">
        <f t="shared" ca="1" si="24"/>
        <v>48.819915466094976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820026</v>
      </c>
      <c r="M32" s="38">
        <f t="shared" si="30"/>
        <v>0</v>
      </c>
      <c r="N32" s="38">
        <f t="shared" ca="1" si="30"/>
        <v>400336</v>
      </c>
      <c r="O32" s="38">
        <f t="shared" ca="1" si="29"/>
        <v>48.819915466094976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820026</v>
      </c>
      <c r="M34" s="38">
        <f t="shared" si="32"/>
        <v>0</v>
      </c>
      <c r="N34" s="38">
        <f t="shared" ca="1" si="32"/>
        <v>400336</v>
      </c>
      <c r="O34" s="38">
        <f t="shared" ca="1" si="29"/>
        <v>48.819915466094976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2399775</v>
      </c>
      <c r="M37" s="54">
        <f t="shared" ca="1" si="33"/>
        <v>1947765</v>
      </c>
      <c r="N37" s="54">
        <f t="shared" ca="1" si="33"/>
        <v>1384695.27</v>
      </c>
      <c r="O37" s="55">
        <f t="shared" ca="1" si="29"/>
        <v>57.701045723036536</v>
      </c>
      <c r="P37" s="55">
        <f t="shared" ca="1" si="25"/>
        <v>71.091495637307375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253100</v>
      </c>
      <c r="N41" s="78">
        <f t="shared" ca="1" si="34"/>
        <v>186307.57</v>
      </c>
      <c r="O41" s="77">
        <f t="shared" ref="O41:O43" ca="1" si="35">IF(L41&gt;0,N41*100/L41,0)</f>
        <v>56.32030532043531</v>
      </c>
      <c r="P41" s="77">
        <f t="shared" ref="P41:P43" ca="1" si="36">IF(M41&gt;0,N41*100/M41,0)</f>
        <v>73.610260766495458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253100</v>
      </c>
      <c r="N43" s="78">
        <f t="shared" ca="1" si="38"/>
        <v>186307.57</v>
      </c>
      <c r="O43" s="77">
        <f t="shared" ca="1" si="35"/>
        <v>56.32030532043531</v>
      </c>
      <c r="P43" s="77">
        <f t="shared" ca="1" si="36"/>
        <v>73.610260766495458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IFERROR(__xludf.DUMMYFUNCTION("IMPORTRANGE(""https://docs.google.com/spreadsheets/d/1Yj_ptqi66GCucihVvJfMjLAmec39IyEx_6qawtMGysU/edit?usp=sharing"",""สบก!Q69"")"),253100)</f>
        <v>253100</v>
      </c>
      <c r="N45" s="49">
        <f ca="1">IFERROR(__xludf.DUMMYFUNCTION("IMPORTRANGE(""https://docs.google.com/spreadsheets/d/1Yj_ptqi66GCucihVvJfMjLAmec39IyEx_6qawtMGysU/edit?usp=sharing"",""สบก!R69"")"),186307.57)</f>
        <v>186307.57</v>
      </c>
      <c r="O45" s="38">
        <f ca="1">IF(L45&gt;0,N45*100/L45,0)</f>
        <v>56.32030532043531</v>
      </c>
      <c r="P45" s="38">
        <f ca="1">IF(M45&gt;0,N45*100/M45,0)</f>
        <v>73.610260766495458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344730</v>
      </c>
      <c r="N53" s="121">
        <f t="shared" ca="1" si="39"/>
        <v>196378</v>
      </c>
      <c r="O53" s="120">
        <f t="shared" ref="O53:O55" ca="1" si="40">IF(L53&gt;0,N53*100/L53,0)</f>
        <v>43.639555555555553</v>
      </c>
      <c r="P53" s="120">
        <f t="shared" ref="P53:P55" ca="1" si="41">IF(M53&gt;0,N53*100/M53,0)</f>
        <v>56.965741304789255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344730</v>
      </c>
      <c r="N55" s="121">
        <f t="shared" ca="1" si="43"/>
        <v>196378</v>
      </c>
      <c r="O55" s="120">
        <f t="shared" ca="1" si="40"/>
        <v>43.639555555555553</v>
      </c>
      <c r="P55" s="120">
        <f t="shared" ca="1" si="41"/>
        <v>56.965741304789255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IFERROR(__xludf.DUMMYFUNCTION("IMPORTRANGE(""https://docs.google.com/spreadsheets/d/1Yj_ptqi66GCucihVvJfMjLAmec39IyEx_6qawtMGysU/edit?usp=sharing"",""สบก!AA69"")"),196378)</f>
        <v>196378</v>
      </c>
      <c r="O57" s="38">
        <f ca="1">IF(L57&gt;0,N57*100/L57,0)</f>
        <v>43.639555555555553</v>
      </c>
      <c r="P57" s="38">
        <f ca="1">IF(M57&gt;0,N57*100/M57,0)</f>
        <v>56.965741304789255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190960</v>
      </c>
      <c r="O94" s="151">
        <f t="shared" ref="O94:O96" ca="1" si="53">IF(L94&gt;0,N94*100/L94,0)</f>
        <v>89.025641025641022</v>
      </c>
      <c r="P94" s="151">
        <f t="shared" ref="P94:P96" ca="1" si="54">IF(M94&gt;0,N94*100/M94,0)</f>
        <v>98.202668997968686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190960</v>
      </c>
      <c r="O96" s="156">
        <f t="shared" ca="1" si="53"/>
        <v>89.025641025641022</v>
      </c>
      <c r="P96" s="156">
        <f t="shared" ca="1" si="54"/>
        <v>98.202668997968686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IFERROR(__xludf.DUMMYFUNCTION("IMPORTRANGE(""https://docs.google.com/spreadsheets/d/1Yj_ptqi66GCucihVvJfMjLAmec39IyEx_6qawtMGysU/edit?usp=sharing"",""สบก!AR69"")"),102055)</f>
        <v>102055</v>
      </c>
      <c r="N98" s="169">
        <f ca="1">IFERROR(__xludf.DUMMYFUNCTION("IMPORTRANGE(""https://docs.google.com/spreadsheets/d/1Yj_ptqi66GCucihVvJfMjLAmec39IyEx_6qawtMGysU/edit?usp=sharing"",""สบก!AS69"")"),98560)</f>
        <v>98560</v>
      </c>
      <c r="O98" s="169">
        <f ca="1">IF(L98&gt;0,N98*100/L98,0)</f>
        <v>80.72072072072072</v>
      </c>
      <c r="P98" s="169">
        <f ca="1">IF(M98&gt;0,N98*100/M98,0)</f>
        <v>96.57537602273284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IFERROR(__xludf.DUMMYFUNCTION("IMPORTRANGE(""https://docs.google.com/spreadsheets/d/1SX6NBoVAgQJ6U1MVXOaj8PK2l7WJ3RER9xtqwdhxkhw/edit?usp=sharing"",""ปราจีนบุรี!J50"")"),0)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IFERROR(__xludf.DUMMYFUNCTION("IMPORTRANGE(""https://docs.google.com/spreadsheets/d/1Yj_ptqi66GCucihVvJfMjLAmec39IyEx_6qawtMGysU/edit?usp=sharing"",""สบก!BA69"")"),0)</f>
        <v>0</v>
      </c>
      <c r="N122" s="169">
        <f ca="1">IFERROR(__xludf.DUMMYFUNCTION("IMPORTRANGE(""https://docs.google.com/spreadsheets/d/1Yj_ptqi66GCucihVvJfMjLAmec39IyEx_6qawtMGysU/edit?usp=sharing"",""สบก!BB69"")"),0)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281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IFERROR(__xludf.DUMMYFUNCTION("IMPORTRANGE(""https://docs.google.com/spreadsheets/d/1SX6NBoVAgQJ6U1MVXOaj8PK2l7WJ3RER9xtqwdhxkhw/edit?usp=sharing"",""ปราจีนบุรี!J65"")"),0)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IFERROR(__xludf.DUMMYFUNCTION("IMPORTRANGE(""https://docs.google.com/spreadsheets/d/1SX6NBoVAgQJ6U1MVXOaj8PK2l7WJ3RER9xtqwdhxkhw/edit?usp=sharing"",""ปราจีนบุรี!I68"")"),20)</f>
        <v>20</v>
      </c>
      <c r="J138" s="267">
        <f ca="1">IFERROR(__xludf.DUMMYFUNCTION("IMPORTRANGE(""https://docs.google.com/spreadsheets/d/1SX6NBoVAgQJ6U1MVXOaj8PK2l7WJ3RER9xtqwdhxkhw/edit?usp=sharing"",""ปราจีนบุรี!J68"")"),20)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339125</v>
      </c>
      <c r="N140" s="152">
        <f t="shared" ca="1" si="64"/>
        <v>255890</v>
      </c>
      <c r="O140" s="151">
        <f t="shared" ref="O140:O142" ca="1" si="65">IF(L140&gt;0,N140*100/L140,0)</f>
        <v>59.329932761418966</v>
      </c>
      <c r="P140" s="151">
        <f t="shared" ref="P140:P142" ca="1" si="66">IF(M140&gt;0,N140*100/M140,0)</f>
        <v>75.455952819756732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339125</v>
      </c>
      <c r="N142" s="157">
        <f t="shared" ca="1" si="68"/>
        <v>255890</v>
      </c>
      <c r="O142" s="156">
        <f t="shared" ca="1" si="65"/>
        <v>59.329932761418966</v>
      </c>
      <c r="P142" s="156">
        <f t="shared" ca="1" si="66"/>
        <v>75.455952819756732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IFERROR(__xludf.DUMMYFUNCTION("IMPORTRANGE(""https://docs.google.com/spreadsheets/d/1Yj_ptqi66GCucihVvJfMjLAmec39IyEx_6qawtMGysU/edit?usp=sharing"",""สบก!BJ69"")"),339125)</f>
        <v>339125</v>
      </c>
      <c r="N144" s="169">
        <f ca="1">IFERROR(__xludf.DUMMYFUNCTION("IMPORTRANGE(""https://docs.google.com/spreadsheets/d/1Yj_ptqi66GCucihVvJfMjLAmec39IyEx_6qawtMGysU/edit?usp=sharing"",""สบก!BK69"")"),255890)</f>
        <v>255890</v>
      </c>
      <c r="O144" s="169">
        <f ca="1">IF(L144&gt;0,N144*100/L144,0)</f>
        <v>59.329932761418966</v>
      </c>
      <c r="P144" s="169">
        <f ca="1">IF(M144&gt;0,N144*100/M144,0)</f>
        <v>75.455952819756732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IFERROR(__xludf.DUMMYFUNCTION("IMPORTRANGE(""https://docs.google.com/spreadsheets/d/1SX6NBoVAgQJ6U1MVXOaj8PK2l7WJ3RER9xtqwdhxkhw/edit?usp=sharing"",""ปราจีนบุรี!I74"")"),4)</f>
        <v>4</v>
      </c>
      <c r="J149" s="275">
        <f ca="1">IFERROR(__xludf.DUMMYFUNCTION("IMPORTRANGE(""https://docs.google.com/spreadsheets/d/1SX6NBoVAgQJ6U1MVXOaj8PK2l7WJ3RER9xtqwdhxkhw/edit?usp=sharing"",""ปราจีนบุรี!J74"")"),1)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IFERROR(__xludf.DUMMYFUNCTION("IMPORTRANGE(""https://docs.google.com/spreadsheets/d/1SX6NBoVAgQJ6U1MVXOaj8PK2l7WJ3RER9xtqwdhxkhw/edit?usp=sharing"",""ปราจีนบุรี!J84"")"),21)</f>
        <v>21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IFERROR(__xludf.DUMMYFUNCTION("IMPORTRANGE(""https://docs.google.com/spreadsheets/d/1SX6NBoVAgQJ6U1MVXOaj8PK2l7WJ3RER9xtqwdhxkhw/edit?usp=sharing"",""ปราจีนบุรี!J85"")"),20)</f>
        <v>20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IFERROR(__xludf.DUMMYFUNCTION("IMPORTRANGE(""https://docs.google.com/spreadsheets/d/1SX6NBoVAgQJ6U1MVXOaj8PK2l7WJ3RER9xtqwdhxkhw/edit?usp=sharing"",""ปราจีนบุรี!I89"")"),3)</f>
        <v>3</v>
      </c>
      <c r="J164" s="284">
        <f ca="1">IFERROR(__xludf.DUMMYFUNCTION("IMPORTRANGE(""https://docs.google.com/spreadsheets/d/1SX6NBoVAgQJ6U1MVXOaj8PK2l7WJ3RER9xtqwdhxkhw/edit?usp=sharing"",""ปราจีนบุรี!J89"")"),3)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IFERROR(__xludf.DUMMYFUNCTION("IMPORTRANGE(""https://docs.google.com/spreadsheets/d/1SX6NBoVAgQJ6U1MVXOaj8PK2l7WJ3RER9xtqwdhxkhw/edit?usp=sharing"",""ปราจีนบุรี!J100"")"),0)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IFERROR(__xludf.DUMMYFUNCTION("IMPORTRANGE(""https://docs.google.com/spreadsheets/d/1SX6NBoVAgQJ6U1MVXOaj8PK2l7WJ3RER9xtqwdhxkhw/edit?usp=sharing"",""ปราจีนบุรี!I101"")"),0)</f>
        <v>0</v>
      </c>
      <c r="J176" s="284">
        <f ca="1">IFERROR(__xludf.DUMMYFUNCTION("IMPORTRANGE(""https://docs.google.com/spreadsheets/d/1SX6NBoVAgQJ6U1MVXOaj8PK2l7WJ3RER9xtqwdhxkhw/edit?usp=sharing"",""ปราจีนบุรี!J101"")"),0)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IFERROR(__xludf.DUMMYFUNCTION("IMPORTRANGE(""https://docs.google.com/spreadsheets/d/1SX6NBoVAgQJ6U1MVXOaj8PK2l7WJ3RER9xtqwdhxkhw/edit?usp=sharing"",""ปราจีนบุรี!J113"")"),0)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IFERROR(__xludf.DUMMYFUNCTION("IMPORTRANGE(""https://docs.google.com/spreadsheets/d/1SX6NBoVAgQJ6U1MVXOaj8PK2l7WJ3RER9xtqwdhxkhw/edit?usp=sharing"",""ปราจีนบุรี!I114"")"),20000)</f>
        <v>20000</v>
      </c>
      <c r="J189" s="284">
        <f ca="1">IFERROR(__xludf.DUMMYFUNCTION("IMPORTRANGE(""https://docs.google.com/spreadsheets/d/1SX6NBoVAgQJ6U1MVXOaj8PK2l7WJ3RER9xtqwdhxkhw/edit?usp=sharing"",""ปราจีนบุรี!J114"")"),0)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IFERROR(__xludf.DUMMYFUNCTION("IMPORTRANGE(""https://docs.google.com/spreadsheets/d/1SX6NBoVAgQJ6U1MVXOaj8PK2l7WJ3RER9xtqwdhxkhw/edit?usp=sharing"",""ปราจีนบุรี!J128"")"),0)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IFERROR(__xludf.DUMMYFUNCTION("IMPORTRANGE(""https://docs.google.com/spreadsheets/d/1SX6NBoVAgQJ6U1MVXOaj8PK2l7WJ3RER9xtqwdhxkhw/edit?usp=sharing"",""ปราจีนบุรี!I129"")"),20)</f>
        <v>20</v>
      </c>
      <c r="J204" s="284">
        <f ca="1">IFERROR(__xludf.DUMMYFUNCTION("IMPORTRANGE(""https://docs.google.com/spreadsheets/d/1SX6NBoVAgQJ6U1MVXOaj8PK2l7WJ3RER9xtqwdhxkhw/edit?usp=sharing"",""ปราจีนบุรี!J129"")"),20)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IFERROR(__xludf.DUMMYFUNCTION("IMPORTRANGE(""https://docs.google.com/spreadsheets/d/1SX6NBoVAgQJ6U1MVXOaj8PK2l7WJ3RER9xtqwdhxkhw/edit?usp=sharing"",""ปราจีนบุรี!J143"")"),0)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IFERROR(__xludf.DUMMYFUNCTION("IMPORTRANGE(""https://docs.google.com/spreadsheets/d/1SX6NBoVAgQJ6U1MVXOaj8PK2l7WJ3RER9xtqwdhxkhw/edit?usp=sharing"",""ปราจีนบุรี!I144"")"),15)</f>
        <v>15</v>
      </c>
      <c r="J219" s="267">
        <f ca="1">IFERROR(__xludf.DUMMYFUNCTION("IMPORTRANGE(""https://docs.google.com/spreadsheets/d/1SX6NBoVAgQJ6U1MVXOaj8PK2l7WJ3RER9xtqwdhxkhw/edit?usp=sharing"",""ปราจีนบุรี!J144"")"),15)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IFERROR(__xludf.DUMMYFUNCTION("IMPORTRANGE(""https://docs.google.com/spreadsheets/d/1SX6NBoVAgQJ6U1MVXOaj8PK2l7WJ3RER9xtqwdhxkhw/edit?usp=sharing"",""ปราจีนบุรี!I149"")"),15)</f>
        <v>15</v>
      </c>
      <c r="J229" s="267">
        <f ca="1">IFERROR(__xludf.DUMMYFUNCTION("IMPORTRANGE(""https://docs.google.com/spreadsheets/d/1SX6NBoVAgQJ6U1MVXOaj8PK2l7WJ3RER9xtqwdhxkhw/edit?usp=sharing"",""ปราจีนบุรี!J149"")"),15)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IFERROR(__xludf.DUMMYFUNCTION("IMPORTRANGE(""https://docs.google.com/spreadsheets/d/1SX6NBoVAgQJ6U1MVXOaj8PK2l7WJ3RER9xtqwdhxkhw/edit?usp=sharing"",""ปราจีนบุรี!J157"")"),0)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IFERROR(__xludf.DUMMYFUNCTION("IMPORTRANGE(""https://docs.google.com/spreadsheets/d/1SX6NBoVAgQJ6U1MVXOaj8PK2l7WJ3RER9xtqwdhxkhw/edit?usp=sharing"",""ปราจีนบุรี!I158"")"),0)</f>
        <v>0</v>
      </c>
      <c r="J238" s="267">
        <f ca="1">IFERROR(__xludf.DUMMYFUNCTION("IMPORTRANGE(""https://docs.google.com/spreadsheets/d/1SX6NBoVAgQJ6U1MVXOaj8PK2l7WJ3RER9xtqwdhxkhw/edit?usp=sharing"",""ปราจีนบุรี!J158"")"),0)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IFERROR(__xludf.DUMMYFUNCTION("IMPORTRANGE(""https://docs.google.com/spreadsheets/d/1SX6NBoVAgQJ6U1MVXOaj8PK2l7WJ3RER9xtqwdhxkhw/edit?usp=sharing"",""ปราจีนบุรี!J166"")"),0)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IFERROR(__xludf.DUMMYFUNCTION("IMPORTRANGE(""https://docs.google.com/spreadsheets/d/1SX6NBoVAgQJ6U1MVXOaj8PK2l7WJ3RER9xtqwdhxkhw/edit?usp=sharing"",""ปราจีนบุรี!I169"")"),20)</f>
        <v>20</v>
      </c>
      <c r="J249" s="316">
        <f ca="1">IFERROR(__xludf.DUMMYFUNCTION("IMPORTRANGE(""https://docs.google.com/spreadsheets/d/1SX6NBoVAgQJ6U1MVXOaj8PK2l7WJ3RER9xtqwdhxkhw/edit?usp=sharing"",""ปราจีนบุรี!J169"")"),20)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28900</v>
      </c>
      <c r="O250" s="151">
        <f t="shared" ref="O250:O252" ca="1" si="78">IF(L250&gt;0,N250*100/L250,0)</f>
        <v>40.476190476190474</v>
      </c>
      <c r="P250" s="151">
        <f t="shared" ref="P250:P252" ca="1" si="79">IF(M250&gt;0,N250*100/M250,0)</f>
        <v>68.80952380952381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28900</v>
      </c>
      <c r="O252" s="156">
        <f t="shared" ca="1" si="78"/>
        <v>40.476190476190474</v>
      </c>
      <c r="P252" s="156">
        <f t="shared" ca="1" si="79"/>
        <v>68.80952380952381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IFERROR(__xludf.DUMMYFUNCTION("IMPORTRANGE(""https://docs.google.com/spreadsheets/d/1Yj_ptqi66GCucihVvJfMjLAmec39IyEx_6qawtMGysU/edit?usp=sharing"",""สบก!CB69"")"),42000)</f>
        <v>42000</v>
      </c>
      <c r="N254" s="169">
        <f ca="1">IFERROR(__xludf.DUMMYFUNCTION("IMPORTRANGE(""https://docs.google.com/spreadsheets/d/1Yj_ptqi66GCucihVvJfMjLAmec39IyEx_6qawtMGysU/edit?usp=sharing"",""สบก!CC69"")"),28900)</f>
        <v>28900</v>
      </c>
      <c r="O254" s="169">
        <f ca="1">IF(L254&gt;0,N254*100/L254,0)</f>
        <v>40.476190476190474</v>
      </c>
      <c r="P254" s="169">
        <f ca="1">IF(M254&gt;0,N254*100/M254,0)</f>
        <v>68.80952380952381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IFERROR(__xludf.DUMMYFUNCTION("IMPORTRANGE(""https://docs.google.com/spreadsheets/d/1SX6NBoVAgQJ6U1MVXOaj8PK2l7WJ3RER9xtqwdhxkhw/edit?usp=sharing"",""ปราจีนบุรี!J184"")"),0)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IFERROR(__xludf.DUMMYFUNCTION("IMPORTRANGE(""https://docs.google.com/spreadsheets/d/1SX6NBoVAgQJ6U1MVXOaj8PK2l7WJ3RER9xtqwdhxkhw/edit?usp=sharing"",""ปราจีนบุรี!I185"")"),0)</f>
        <v>0</v>
      </c>
      <c r="J270" s="316">
        <f ca="1">IFERROR(__xludf.DUMMYFUNCTION("IMPORTRANGE(""https://docs.google.com/spreadsheets/d/1SX6NBoVAgQJ6U1MVXOaj8PK2l7WJ3RER9xtqwdhxkhw/edit?usp=sharing"",""ปราจีนบุรี!J185"")"),0)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IFERROR(__xludf.DUMMYFUNCTION("IMPORTRANGE(""https://docs.google.com/spreadsheets/d/1SX6NBoVAgQJ6U1MVXOaj8PK2l7WJ3RER9xtqwdhxkhw/edit?usp=sharing"",""ปราจีนบุรี!I199"")"),0)</f>
        <v>0</v>
      </c>
      <c r="J289" s="316">
        <f ca="1">IFERROR(__xludf.DUMMYFUNCTION("IMPORTRANGE(""https://docs.google.com/spreadsheets/d/1SX6NBoVAgQJ6U1MVXOaj8PK2l7WJ3RER9xtqwdhxkhw/edit?usp=sharing"",""ปราจีนบุรี!J199"")"),0)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IFERROR(__xludf.DUMMYFUNCTION("IMPORTRANGE(""https://docs.google.com/spreadsheets/d/1SX6NBoVAgQJ6U1MVXOaj8PK2l7WJ3RER9xtqwdhxkhw/edit?usp=sharing"",""ปราจีนบุรี!J213"")"),0)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IFERROR(__xludf.DUMMYFUNCTION("IMPORTRANGE(""https://docs.google.com/spreadsheets/d/1SX6NBoVAgQJ6U1MVXOaj8PK2l7WJ3RER9xtqwdhxkhw/edit?usp=sharing"",""ปราจีนบุรี!I214"")"),0)</f>
        <v>0</v>
      </c>
      <c r="J309" s="333">
        <f ca="1">IFERROR(__xludf.DUMMYFUNCTION("IMPORTRANGE(""https://docs.google.com/spreadsheets/d/1SX6NBoVAgQJ6U1MVXOaj8PK2l7WJ3RER9xtqwdhxkhw/edit?usp=sharing"",""ปราจีนบุรี!J214"")"),0)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IFERROR(__xludf.DUMMYFUNCTION("IMPORTRANGE(""https://docs.google.com/spreadsheets/d/1SX6NBoVAgQJ6U1MVXOaj8PK2l7WJ3RER9xtqwdhxkhw/edit?usp=sharing"",""ปราจีนบุรี!J226"")"),0)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IFERROR(__xludf.DUMMYFUNCTION("IMPORTRANGE(""https://docs.google.com/spreadsheets/d/1SX6NBoVAgQJ6U1MVXOaj8PK2l7WJ3RER9xtqwdhxkhw/edit?usp=sharing"",""ปราจีนบุรี!I228"")"),95)</f>
        <v>95</v>
      </c>
      <c r="J328" s="339">
        <f ca="1">IFERROR(__xludf.DUMMYFUNCTION("IMPORTRANGE(""https://docs.google.com/spreadsheets/d/1SX6NBoVAgQJ6U1MVXOaj8PK2l7WJ3RER9xtqwdhxkhw/edit?usp=sharing"",""ปราจีนบุรี!J228"")"),83)</f>
        <v>83</v>
      </c>
      <c r="K328" s="317">
        <f ca="1">IF(I328&gt;0,J328*100/I328,0)</f>
        <v>87.368421052631575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880650</v>
      </c>
      <c r="M329" s="152">
        <f t="shared" ca="1" si="98"/>
        <v>753230</v>
      </c>
      <c r="N329" s="152">
        <f t="shared" ca="1" si="98"/>
        <v>505134.7</v>
      </c>
      <c r="O329" s="151">
        <f t="shared" ref="O329:O331" ca="1" si="99">IF(L329&gt;0,N329*100/L329,0)</f>
        <v>57.359302787713624</v>
      </c>
      <c r="P329" s="151">
        <f t="shared" ref="P329:P331" ca="1" si="100">IF(M329&gt;0,N329*100/M329,0)</f>
        <v>67.06247759648447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880650</v>
      </c>
      <c r="M331" s="157">
        <f t="shared" ca="1" si="102"/>
        <v>753230</v>
      </c>
      <c r="N331" s="157">
        <f t="shared" ca="1" si="102"/>
        <v>505134.7</v>
      </c>
      <c r="O331" s="156">
        <f t="shared" ca="1" si="99"/>
        <v>57.359302787713624</v>
      </c>
      <c r="P331" s="156">
        <f t="shared" ca="1" si="100"/>
        <v>67.06247759648447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880650</v>
      </c>
      <c r="M333" s="168">
        <f ca="1">IFERROR(__xludf.DUMMYFUNCTION("IMPORTRANGE(""https://docs.google.com/spreadsheets/d/1Yj_ptqi66GCucihVvJfMjLAmec39IyEx_6qawtMGysU/edit?usp=sharing"",""สบก!DL69"")"),753230)</f>
        <v>753230</v>
      </c>
      <c r="N333" s="169">
        <f ca="1">IFERROR(__xludf.DUMMYFUNCTION("IMPORTRANGE(""https://docs.google.com/spreadsheets/d/1Yj_ptqi66GCucihVvJfMjLAmec39IyEx_6qawtMGysU/edit?usp=sharing"",""สบก!DM69"")"),505134.7)</f>
        <v>505134.7</v>
      </c>
      <c r="O333" s="169">
        <f ca="1">IF(L333&gt;0,N333*100/L333,0)</f>
        <v>57.359302787713624</v>
      </c>
      <c r="P333" s="169">
        <f ca="1">IF(M333&gt;0,N333*100/M333,0)</f>
        <v>67.06247759648447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IFERROR(__xludf.DUMMYFUNCTION("IMPORTRANGE(""https://docs.google.com/spreadsheets/d/1Yj_ptqi66GCucihVvJfMjLAmec39IyEx_6qawtMGysU/edit?usp=sharing"",""สบก!DI69"")"),297450)</f>
        <v>297450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IFERROR(__xludf.DUMMYFUNCTION("IMPORTRANGE(""https://docs.google.com/spreadsheets/d/1SX6NBoVAgQJ6U1MVXOaj8PK2l7WJ3RER9xtqwdhxkhw/edit?usp=sharing"",""ปราจีนบุรี!J234"")"),74)</f>
        <v>74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IFERROR(__xludf.DUMMYFUNCTION("IMPORTRANGE(""https://docs.google.com/spreadsheets/d/1SX6NBoVAgQJ6U1MVXOaj8PK2l7WJ3RER9xtqwdhxkhw/edit?usp=sharing"",""ปราจีนบุรี!J235"")"),1048.6)</f>
        <v>1048.5999999999999</v>
      </c>
      <c r="K340" s="342">
        <f t="shared" ca="1" si="103"/>
        <v>74.899999999999991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IFERROR(__xludf.DUMMYFUNCTION("IMPORTRANGE(""https://docs.google.com/spreadsheets/d/1SX6NBoVAgQJ6U1MVXOaj8PK2l7WJ3RER9xtqwdhxkhw/edit?usp=sharing"",""ปราจีนบุรี!J236"")"),101)</f>
        <v>101</v>
      </c>
      <c r="K341" s="342">
        <f t="shared" ca="1" si="103"/>
        <v>106.31578947368421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IFERROR(__xludf.DUMMYFUNCTION("IMPORTRANGE(""https://docs.google.com/spreadsheets/d/1SX6NBoVAgQJ6U1MVXOaj8PK2l7WJ3RER9xtqwdhxkhw/edit?usp=sharing"",""ปราจีนบุรี!J237"")"),1708.92)</f>
        <v>1708.92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IFERROR(__xludf.DUMMYFUNCTION("IMPORTRANGE(""https://docs.google.com/spreadsheets/d/1SX6NBoVAgQJ6U1MVXOaj8PK2l7WJ3RER9xtqwdhxkhw/edit?usp=sharing"",""ปราจีนบุรี!J240"")"),83)</f>
        <v>83</v>
      </c>
      <c r="K345" s="342">
        <f t="shared" ca="1" si="103"/>
        <v>87.368421052631575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IFERROR(__xludf.DUMMYFUNCTION("IMPORTRANGE(""https://docs.google.com/spreadsheets/d/1SX6NBoVAgQJ6U1MVXOaj8PK2l7WJ3RER9xtqwdhxkhw/edit?usp=sharing"",""ปราจีนบุรี!J241"")"),1489.68999999999)</f>
        <v>1489.6899999999901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IFERROR(__xludf.DUMMYFUNCTION("IMPORTRANGE(""https://docs.google.com/spreadsheets/d/1SX6NBoVAgQJ6U1MVXOaj8PK2l7WJ3RER9xtqwdhxkhw/edit?usp=sharing"",""ปราจีนบุรี!L242"")"),820026)</f>
        <v>820026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IFERROR(__xludf.DUMMYFUNCTION("IMPORTRANGE(""https://docs.google.com/spreadsheets/d/1SX6NBoVAgQJ6U1MVXOaj8PK2l7WJ3RER9xtqwdhxkhw/edit?usp=sharing"",""ปราจีนบุรี!M242"")"),400336)</f>
        <v>400336</v>
      </c>
      <c r="O347" s="358">
        <f ca="1">+IF(L347&gt;0,N347*100/L347,0)</f>
        <v>48.819915466094976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IFERROR(__xludf.DUMMYFUNCTION("IMPORTRANGE(""https://docs.google.com/spreadsheets/d/1SX6NBoVAgQJ6U1MVXOaj8PK2l7WJ3RER9xtqwdhxkhw/edit?usp=sharing"",""ปราจีนบุรี!M244"")"),88355)</f>
        <v>88355</v>
      </c>
      <c r="O349" s="373">
        <f ca="1">+IF(L349&gt;0,N349*100/L349,0)</f>
        <v>94.882946735395194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IFERROR(__xludf.DUMMYFUNCTION("IMPORTRANGE(""https://docs.google.com/spreadsheets/d/1SX6NBoVAgQJ6U1MVXOaj8PK2l7WJ3RER9xtqwdhxkhw/edit?usp=sharing"",""ปราจีนบุรี!M247"")"),88355)</f>
        <v>88355</v>
      </c>
      <c r="O352" s="165">
        <f t="shared" ca="1" si="105"/>
        <v>94.882946735395194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IFERROR(__xludf.DUMMYFUNCTION("IMPORTRANGE(""https://docs.google.com/spreadsheets/d/1SX6NBoVAgQJ6U1MVXOaj8PK2l7WJ3RER9xtqwdhxkhw/edit?usp=sharing"",""ปราจีนบุรี!M249"")"),88355)</f>
        <v>88355</v>
      </c>
      <c r="O354" s="169">
        <f t="shared" ca="1" si="105"/>
        <v>94.882946735395194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IFERROR(__xludf.DUMMYFUNCTION("IMPORTRANGE(""https://docs.google.com/spreadsheets/d/1SX6NBoVAgQJ6U1MVXOaj8PK2l7WJ3RER9xtqwdhxkhw/edit?usp=sharing"",""ปราจีนบุรี!M253"")"),13755)</f>
        <v>13755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IFERROR(__xludf.DUMMYFUNCTION("IMPORTRANGE(""https://docs.google.com/spreadsheets/d/1SX6NBoVAgQJ6U1MVXOaj8PK2l7WJ3RER9xtqwdhxkhw/edit?usp=sharing"",""ปราจีนบุรี!M275"")"),74520)</f>
        <v>74520</v>
      </c>
      <c r="O380" s="373">
        <f ca="1">+IF(L380&gt;0,N380*100/L380,0)</f>
        <v>35.902871458855273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IFERROR(__xludf.DUMMYFUNCTION("IMPORTRANGE(""https://docs.google.com/spreadsheets/d/1SX6NBoVAgQJ6U1MVXOaj8PK2l7WJ3RER9xtqwdhxkhw/edit?usp=sharing"",""ปราจีนบุรี!M278"")"),74520)</f>
        <v>74520</v>
      </c>
      <c r="O383" s="165">
        <f t="shared" ca="1" si="109"/>
        <v>35.902871458855273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IFERROR(__xludf.DUMMYFUNCTION("IMPORTRANGE(""https://docs.google.com/spreadsheets/d/1SX6NBoVAgQJ6U1MVXOaj8PK2l7WJ3RER9xtqwdhxkhw/edit?usp=sharing"",""ปราจีนบุรี!M280"")"),74520)</f>
        <v>74520</v>
      </c>
      <c r="O385" s="169">
        <f t="shared" ca="1" si="109"/>
        <v>35.902871458855273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IFERROR(__xludf.DUMMYFUNCTION("IMPORTRANGE(""https://docs.google.com/spreadsheets/d/1SX6NBoVAgQJ6U1MVXOaj8PK2l7WJ3RER9xtqwdhxkhw/edit?usp=sharing"",""ปราจีนบุรี!M284"")"),15720)</f>
        <v>15720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IFERROR(__xludf.DUMMYFUNCTION("IMPORTRANGE(""https://docs.google.com/spreadsheets/d/1SX6NBoVAgQJ6U1MVXOaj8PK2l7WJ3RER9xtqwdhxkhw/edit?usp=sharing"",""ปราจีนบุรี!M296"")"),74380)</f>
        <v>74380</v>
      </c>
      <c r="O401" s="373">
        <f ca="1">+IF(L401&gt;0,N401*100/L401,0)</f>
        <v>63.944291609353506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IFERROR(__xludf.DUMMYFUNCTION("IMPORTRANGE(""https://docs.google.com/spreadsheets/d/1SX6NBoVAgQJ6U1MVXOaj8PK2l7WJ3RER9xtqwdhxkhw/edit?usp=sharing"",""ปราจีนบุรี!M299"")"),74380)</f>
        <v>74380</v>
      </c>
      <c r="O404" s="169">
        <f t="shared" ca="1" si="112"/>
        <v>63.944291609353506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IFERROR(__xludf.DUMMYFUNCTION("IMPORTRANGE(""https://docs.google.com/spreadsheets/d/1SX6NBoVAgQJ6U1MVXOaj8PK2l7WJ3RER9xtqwdhxkhw/edit?usp=sharing"",""ปราจีนบุรี!M301"")"),74380)</f>
        <v>74380</v>
      </c>
      <c r="O406" s="169">
        <f t="shared" ca="1" si="112"/>
        <v>63.944291609353506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IFERROR(__xludf.DUMMYFUNCTION("IMPORTRANGE(""https://docs.google.com/spreadsheets/d/1SX6NBoVAgQJ6U1MVXOaj8PK2l7WJ3RER9xtqwdhxkhw/edit?usp=sharing"",""ปราจีนบุรี!M302"")"),53440)</f>
        <v>53440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IFERROR(__xludf.DUMMYFUNCTION("IMPORTRANGE(""https://docs.google.com/spreadsheets/d/1SX6NBoVAgQJ6U1MVXOaj8PK2l7WJ3RER9xtqwdhxkhw/edit?usp=sharing"",""ปราจีนบุรี!M305"")"),20940)</f>
        <v>20940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IFERROR(__xludf.DUMMYFUNCTION("IMPORTRANGE(""https://docs.google.com/spreadsheets/d/1SX6NBoVAgQJ6U1MVXOaj8PK2l7WJ3RER9xtqwdhxkhw/edit?usp=sharing"",""ปราจีนบุรี!J329"")"),0)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84.89473684210526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84.89473684210526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84.89473684210526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IFERROR(__xludf.DUMMYFUNCTION("IMPORTRANGE(""https://docs.google.com/spreadsheets/d/1SX6NBoVAgQJ6U1MVXOaj8PK2l7WJ3RER9xtqwdhxkhw/edit?usp=sharing"",""ปราจีนบุรี!I350"")"),2324)</f>
        <v>2324</v>
      </c>
      <c r="J455" s="371">
        <f ca="1">IFERROR(__xludf.DUMMYFUNCTION("IMPORTRANGE(""https://docs.google.com/spreadsheets/d/1SX6NBoVAgQJ6U1MVXOaj8PK2l7WJ3RER9xtqwdhxkhw/edit?usp=sharing"",""ปราจีนบุรี!J350"")"),0)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IFERROR(__xludf.DUMMYFUNCTION("IMPORTRANGE(""https://docs.google.com/spreadsheets/d/1SX6NBoVAgQJ6U1MVXOaj8PK2l7WJ3RER9xtqwdhxkhw/edit?usp=sharing"",""ปราจีนบุรี!L350"")"),52754)</f>
        <v>52754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IFERROR(__xludf.DUMMYFUNCTION("IMPORTRANGE(""https://docs.google.com/spreadsheets/d/1SX6NBoVAgQJ6U1MVXOaj8PK2l7WJ3RER9xtqwdhxkhw/edit?usp=sharing"",""ปราจีนบุรี!M350"")"),15145)</f>
        <v>15145</v>
      </c>
      <c r="O455" s="373">
        <f t="shared" ref="O455:O459" ca="1" si="116">+IF(L455&gt;0,N455*100/L455,0)</f>
        <v>28.708723509117792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IFERROR(__xludf.DUMMYFUNCTION("IMPORTRANGE(""https://docs.google.com/spreadsheets/d/1SX6NBoVAgQJ6U1MVXOaj8PK2l7WJ3RER9xtqwdhxkhw/edit?usp=sharing"",""ปราจีนบุรี!L352"")"),52754)</f>
        <v>52754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IFERROR(__xludf.DUMMYFUNCTION("IMPORTRANGE(""https://docs.google.com/spreadsheets/d/1SX6NBoVAgQJ6U1MVXOaj8PK2l7WJ3RER9xtqwdhxkhw/edit?usp=sharing"",""ปราจีนบุรี!M352"")"),15145)</f>
        <v>15145</v>
      </c>
      <c r="O457" s="169">
        <f t="shared" ca="1" si="116"/>
        <v>28.708723509117792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IFERROR(__xludf.DUMMYFUNCTION("IMPORTRANGE(""https://docs.google.com/spreadsheets/d/1SX6NBoVAgQJ6U1MVXOaj8PK2l7WJ3RER9xtqwdhxkhw/edit?usp=sharing"",""ปราจีนบุรี!L354"")"),52754)</f>
        <v>52754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IFERROR(__xludf.DUMMYFUNCTION("IMPORTRANGE(""https://docs.google.com/spreadsheets/d/1SX6NBoVAgQJ6U1MVXOaj8PK2l7WJ3RER9xtqwdhxkhw/edit?usp=sharing"",""ปราจีนบุรี!M354"")"),15145)</f>
        <v>15145</v>
      </c>
      <c r="O459" s="169">
        <f t="shared" ca="1" si="116"/>
        <v>28.708723509117792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IFERROR(__xludf.DUMMYFUNCTION("IMPORTRANGE(""https://docs.google.com/spreadsheets/d/1SX6NBoVAgQJ6U1MVXOaj8PK2l7WJ3RER9xtqwdhxkhw/edit?usp=sharing"",""ปราจีนบุรี!M358"")"),15145)</f>
        <v>15145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IFERROR(__xludf.DUMMYFUNCTION("IMPORTRANGE(""https://docs.google.com/spreadsheets/d/1SX6NBoVAgQJ6U1MVXOaj8PK2l7WJ3RER9xtqwdhxkhw/edit?usp=sharing"",""ปราจีนบุรี!I359"")"),2324)</f>
        <v>2324</v>
      </c>
      <c r="J464" s="267">
        <f ca="1">IFERROR(__xludf.DUMMYFUNCTION("IMPORTRANGE(""https://docs.google.com/spreadsheets/d/1SX6NBoVAgQJ6U1MVXOaj8PK2l7WJ3RER9xtqwdhxkhw/edit?usp=sharing"",""ปราจีนบุรี!J359"")"),0)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IFERROR(__xludf.DUMMYFUNCTION("IMPORTRANGE(""https://docs.google.com/spreadsheets/d/1SX6NBoVAgQJ6U1MVXOaj8PK2l7WJ3RER9xtqwdhxkhw/edit?usp=sharing"",""ปราจีนบุรี!I360"")"),2324)</f>
        <v>2324</v>
      </c>
      <c r="J465" s="420">
        <f ca="1">IFERROR(__xludf.DUMMYFUNCTION("IMPORTRANGE(""https://docs.google.com/spreadsheets/d/1SX6NBoVAgQJ6U1MVXOaj8PK2l7WJ3RER9xtqwdhxkhw/edit?usp=sharing"",""ปราจีนบุรี!J360"")"),2314.49318)</f>
        <v>2314.4931799999999</v>
      </c>
      <c r="K465" s="202">
        <f t="shared" ca="1" si="117"/>
        <v>99.590928571428577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IFERROR(__xludf.DUMMYFUNCTION("IMPORTRANGE(""https://docs.google.com/spreadsheets/d/1SX6NBoVAgQJ6U1MVXOaj8PK2l7WJ3RER9xtqwdhxkhw/edit?usp=sharing"",""ปราจีนบุรี!I361"")"),141)</f>
        <v>141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IFERROR(__xludf.DUMMYFUNCTION("IMPORTRANGE(""https://docs.google.com/spreadsheets/d/1SX6NBoVAgQJ6U1MVXOaj8PK2l7WJ3RER9xtqwdhxkhw/edit?usp=sharing"",""ปราจีนบุรี!J362"")"),1901.5578)</f>
        <v>1901.5578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IFERROR(__xludf.DUMMYFUNCTION("IMPORTRANGE(""https://docs.google.com/spreadsheets/d/1SX6NBoVAgQJ6U1MVXOaj8PK2l7WJ3RER9xtqwdhxkhw/edit?usp=sharing"",""ปราจีนบุรี!J364"")"),246.52768)</f>
        <v>246.52768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IFERROR(__xludf.DUMMYFUNCTION("IMPORTRANGE(""https://docs.google.com/spreadsheets/d/1SX6NBoVAgQJ6U1MVXOaj8PK2l7WJ3RER9xtqwdhxkhw/edit?usp=sharing"",""ปราจีนบุรี!J366"")"),166.4077)</f>
        <v>166.40770000000001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IFERROR(__xludf.DUMMYFUNCTION("IMPORTRANGE(""https://docs.google.com/spreadsheets/d/1SX6NBoVAgQJ6U1MVXOaj8PK2l7WJ3RER9xtqwdhxkhw/edit?usp=sharing"",""ปราจีนบุรี!I368"")"),2324)</f>
        <v>2324</v>
      </c>
      <c r="J473" s="420">
        <f ca="1">IFERROR(__xludf.DUMMYFUNCTION("IMPORTRANGE(""https://docs.google.com/spreadsheets/d/1SX6NBoVAgQJ6U1MVXOaj8PK2l7WJ3RER9xtqwdhxkhw/edit?usp=sharing"",""ปราจีนบุรี!J368"")"),2314.4932)</f>
        <v>2314.4931999999999</v>
      </c>
      <c r="K473" s="202">
        <f t="shared" ca="1" si="117"/>
        <v>99.590929432013766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IFERROR(__xludf.DUMMYFUNCTION("IMPORTRANGE(""https://docs.google.com/spreadsheets/d/1SX6NBoVAgQJ6U1MVXOaj8PK2l7WJ3RER9xtqwdhxkhw/edit?usp=sharing"",""ปราจีนบุรี!I369"")"),141)</f>
        <v>141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IFERROR(__xludf.DUMMYFUNCTION("IMPORTRANGE(""https://docs.google.com/spreadsheets/d/1SX6NBoVAgQJ6U1MVXOaj8PK2l7WJ3RER9xtqwdhxkhw/edit?usp=sharing"",""ปราจีนบุรี!J370"")"),1727.6004)</f>
        <v>1727.6004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IFERROR(__xludf.DUMMYFUNCTION("IMPORTRANGE(""https://docs.google.com/spreadsheets/d/1SX6NBoVAgQJ6U1MVXOaj8PK2l7WJ3RER9xtqwdhxkhw/edit?usp=sharing"",""ปราจีนบุรี!J371"")"),105)</f>
        <v>105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IFERROR(__xludf.DUMMYFUNCTION("IMPORTRANGE(""https://docs.google.com/spreadsheets/d/1SX6NBoVAgQJ6U1MVXOaj8PK2l7WJ3RER9xtqwdhxkhw/edit?usp=sharing"",""ปราจีนบุรี!J372"")"),425.1901)</f>
        <v>425.19009999999997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IFERROR(__xludf.DUMMYFUNCTION("IMPORTRANGE(""https://docs.google.com/spreadsheets/d/1SX6NBoVAgQJ6U1MVXOaj8PK2l7WJ3RER9xtqwdhxkhw/edit?usp=sharing"",""ปราจีนบุรี!J373"")"),21)</f>
        <v>21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IFERROR(__xludf.DUMMYFUNCTION("IMPORTRANGE(""https://docs.google.com/spreadsheets/d/1SX6NBoVAgQJ6U1MVXOaj8PK2l7WJ3RER9xtqwdhxkhw/edit?usp=sharing"",""ปราจีนบุรี!J374"")"),161.7027)</f>
        <v>161.70269999999999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IFERROR(__xludf.DUMMYFUNCTION("IMPORTRANGE(""https://docs.google.com/spreadsheets/d/1SX6NBoVAgQJ6U1MVXOaj8PK2l7WJ3RER9xtqwdhxkhw/edit?usp=sharing"",""ปราจีนบุรี!I376"")"),2324)</f>
        <v>2324</v>
      </c>
      <c r="J481" s="420">
        <f ca="1">IFERROR(__xludf.DUMMYFUNCTION("IMPORTRANGE(""https://docs.google.com/spreadsheets/d/1SX6NBoVAgQJ6U1MVXOaj8PK2l7WJ3RER9xtqwdhxkhw/edit?usp=sharing"",""ปราจีนบุรี!J376"")"),0)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IFERROR(__xludf.DUMMYFUNCTION("IMPORTRANGE(""https://docs.google.com/spreadsheets/d/1SX6NBoVAgQJ6U1MVXOaj8PK2l7WJ3RER9xtqwdhxkhw/edit?usp=sharing"",""ปราจีนบุรี!I377"")"),141)</f>
        <v>141</v>
      </c>
      <c r="J482" s="420">
        <f ca="1">IFERROR(__xludf.DUMMYFUNCTION("IMPORTRANGE(""https://docs.google.com/spreadsheets/d/1SX6NBoVAgQJ6U1MVXOaj8PK2l7WJ3RER9xtqwdhxkhw/edit?usp=sharing"",""ปราจีนบุรี!J377"")"),0)</f>
        <v>0</v>
      </c>
      <c r="K482" s="202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IFERROR(__xludf.DUMMYFUNCTION("IMPORTRANGE(""https://docs.google.com/spreadsheets/d/1SX6NBoVAgQJ6U1MVXOaj8PK2l7WJ3RER9xtqwdhxkhw/edit?usp=sharing"",""ปราจีนบุรี!I411"")"),0)</f>
        <v>0</v>
      </c>
      <c r="J516" s="267">
        <f ca="1">IFERROR(__xludf.DUMMYFUNCTION("IMPORTRANGE(""https://docs.google.com/spreadsheets/d/1SX6NBoVAgQJ6U1MVXOaj8PK2l7WJ3RER9xtqwdhxkhw/edit?usp=sharing"",""ปราจีนบุรี!J411"")"),0)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IFERROR(__xludf.DUMMYFUNCTION("IMPORTRANGE(""https://docs.google.com/spreadsheets/d/1SX6NBoVAgQJ6U1MVXOaj8PK2l7WJ3RER9xtqwdhxkhw/edit?usp=sharing"",""ปราจีนบุรี!I412"")"),0)</f>
        <v>0</v>
      </c>
      <c r="J517" s="284">
        <f ca="1">IFERROR(__xludf.DUMMYFUNCTION("IMPORTRANGE(""https://docs.google.com/spreadsheets/d/1SX6NBoVAgQJ6U1MVXOaj8PK2l7WJ3RER9xtqwdhxkhw/edit?usp=sharing"",""ปราจีนบุรี!J412"")"),0)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IFERROR(__xludf.DUMMYFUNCTION("IMPORTRANGE(""https://docs.google.com/spreadsheets/d/1SX6NBoVAgQJ6U1MVXOaj8PK2l7WJ3RER9xtqwdhxkhw/edit?usp=sharing"",""ปราจีนบุรี!I413"")"),0)</f>
        <v>0</v>
      </c>
      <c r="J518" s="284">
        <f ca="1">IFERROR(__xludf.DUMMYFUNCTION("IMPORTRANGE(""https://docs.google.com/spreadsheets/d/1SX6NBoVAgQJ6U1MVXOaj8PK2l7WJ3RER9xtqwdhxkhw/edit?usp=sharing"",""ปราจีนบุรี!J413"")"),0)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IFERROR(__xludf.DUMMYFUNCTION("IMPORTRANGE(""https://docs.google.com/spreadsheets/d/1SX6NBoVAgQJ6U1MVXOaj8PK2l7WJ3RER9xtqwdhxkhw/edit?usp=sharing"",""ปราจีนบุรี!I420"")"),0)</f>
        <v>0</v>
      </c>
      <c r="J525" s="284">
        <f ca="1">IFERROR(__xludf.DUMMYFUNCTION("IMPORTRANGE(""https://docs.google.com/spreadsheets/d/1SX6NBoVAgQJ6U1MVXOaj8PK2l7WJ3RER9xtqwdhxkhw/edit?usp=sharing"",""ปราจีนบุรี!J420"")"),0)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IFERROR(__xludf.DUMMYFUNCTION("IMPORTRANGE(""https://docs.google.com/spreadsheets/d/1SX6NBoVAgQJ6U1MVXOaj8PK2l7WJ3RER9xtqwdhxkhw/edit?usp=sharing"",""ปราจีนบุรี!I421"")"),0)</f>
        <v>0</v>
      </c>
      <c r="J526" s="284">
        <f ca="1">IFERROR(__xludf.DUMMYFUNCTION("IMPORTRANGE(""https://docs.google.com/spreadsheets/d/1SX6NBoVAgQJ6U1MVXOaj8PK2l7WJ3RER9xtqwdhxkhw/edit?usp=sharing"",""ปราจีนบุรี!J421"")"),0)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IFERROR(__xludf.DUMMYFUNCTION("IMPORTRANGE(""https://docs.google.com/spreadsheets/d/1SX6NBoVAgQJ6U1MVXOaj8PK2l7WJ3RER9xtqwdhxkhw/edit?usp=sharing"",""ปราจีนบุรี!M428"")"),26700)</f>
        <v>26700</v>
      </c>
      <c r="O533" s="412">
        <f t="shared" ref="O533:O537" ca="1" si="118">+IF(L533&gt;0,N533*100/L533,0)</f>
        <v>77.751892836342464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IFERROR(__xludf.DUMMYFUNCTION("IMPORTRANGE(""https://docs.google.com/spreadsheets/d/1SX6NBoVAgQJ6U1MVXOaj8PK2l7WJ3RER9xtqwdhxkhw/edit?usp=sharing"",""ปราจีนบุรี!M430"")"),26700)</f>
        <v>26700</v>
      </c>
      <c r="O535" s="169">
        <f t="shared" ca="1" si="118"/>
        <v>77.751892836342464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IFERROR(__xludf.DUMMYFUNCTION("IMPORTRANGE(""https://docs.google.com/spreadsheets/d/1SX6NBoVAgQJ6U1MVXOaj8PK2l7WJ3RER9xtqwdhxkhw/edit?usp=sharing"",""ปราจีนบุรี!M432"")"),26700)</f>
        <v>26700</v>
      </c>
      <c r="O537" s="169">
        <f t="shared" ca="1" si="118"/>
        <v>77.751892836342464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IFERROR(__xludf.DUMMYFUNCTION("IMPORTRANGE(""https://docs.google.com/spreadsheets/d/1SX6NBoVAgQJ6U1MVXOaj8PK2l7WJ3RER9xtqwdhxkhw/edit?usp=sharing"",""ปราจีนบุรี!M436"")"),7000)</f>
        <v>7000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IFERROR(__xludf.DUMMYFUNCTION("IMPORTRANGE(""https://docs.google.com/spreadsheets/d/1SX6NBoVAgQJ6U1MVXOaj8PK2l7WJ3RER9xtqwdhxkhw/edit?usp=sharing"",""ปราจีนบุรี!J459"")"),1199)</f>
        <v>1199</v>
      </c>
      <c r="K564" s="372">
        <f ca="1">IF(I564&gt;0,J564*100/I564,0)</f>
        <v>239.8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IFERROR(__xludf.DUMMYFUNCTION("IMPORTRANGE(""https://docs.google.com/spreadsheets/d/1SX6NBoVAgQJ6U1MVXOaj8PK2l7WJ3RER9xtqwdhxkhw/edit?usp=sharing"",""ปราจีนบุรี!J468"")"),1199)</f>
        <v>1199</v>
      </c>
      <c r="K573" s="202">
        <f ca="1">IF(I573&gt;0,J573*100/I573,0)</f>
        <v>239.8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IFERROR(__xludf.DUMMYFUNCTION("IMPORTRANGE(""https://docs.google.com/spreadsheets/d/1SX6NBoVAgQJ6U1MVXOaj8PK2l7WJ3RER9xtqwdhxkhw/edit?usp=sharing"",""ปราจีนบุรี!J471"")"),106)</f>
        <v>106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IFERROR(__xludf.DUMMYFUNCTION("IMPORTRANGE(""https://docs.google.com/spreadsheets/d/1SX6NBoVAgQJ6U1MVXOaj8PK2l7WJ3RER9xtqwdhxkhw/edit?usp=sharing"",""ปราจีนบุรี!J472"")"),1093)</f>
        <v>1093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IFERROR(__xludf.DUMMYFUNCTION("IMPORTRANGE(""https://docs.google.com/spreadsheets/d/1SX6NBoVAgQJ6U1MVXOaj8PK2l7WJ3RER9xtqwdhxkhw/edit?usp=sharing"",""ปราจีนบุรี!L475"")"),106902)</f>
        <v>106902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IFERROR(__xludf.DUMMYFUNCTION("IMPORTRANGE(""https://docs.google.com/spreadsheets/d/1SX6NBoVAgQJ6U1MVXOaj8PK2l7WJ3RER9xtqwdhxkhw/edit?usp=sharing"",""ปราจีนบุรี!L477"")"),106902)</f>
        <v>106902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IFERROR(__xludf.DUMMYFUNCTION("IMPORTRANGE(""https://docs.google.com/spreadsheets/d/1SX6NBoVAgQJ6U1MVXOaj8PK2l7WJ3RER9xtqwdhxkhw/edit?usp=sharing"",""ปราจีนบุรี!L479"")"),106902)</f>
        <v>106902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IFERROR(__xludf.DUMMYFUNCTION("IMPORTRANGE(""https://docs.google.com/spreadsheets/d/1SX6NBoVAgQJ6U1MVXOaj8PK2l7WJ3RER9xtqwdhxkhw/edit?usp=sharing"",""ปราจีนบุรี!J486"")"),1)</f>
        <v>1</v>
      </c>
      <c r="K591" s="163">
        <f t="shared" ca="1" si="125"/>
        <v>50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IFERROR(__xludf.DUMMYFUNCTION("IMPORTRANGE(""https://docs.google.com/spreadsheets/d/1SX6NBoVAgQJ6U1MVXOaj8PK2l7WJ3RER9xtqwdhxkhw/edit?usp=sharing"",""ปราจีนบุรี!J487"")"),7)</f>
        <v>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IFERROR(__xludf.DUMMYFUNCTION("IMPORTRANGE(""https://docs.google.com/spreadsheets/d/1SX6NBoVAgQJ6U1MVXOaj8PK2l7WJ3RER9xtqwdhxkhw/edit?usp=sharing"",""ปราจีนบุรี!I491"")"),0)</f>
        <v>0</v>
      </c>
      <c r="J596" s="241">
        <f ca="1">IFERROR(__xludf.DUMMYFUNCTION("IMPORTRANGE(""https://docs.google.com/spreadsheets/d/1SX6NBoVAgQJ6U1MVXOaj8PK2l7WJ3RER9xtqwdhxkhw/edit?usp=sharing"",""ปราจีนบุรี!J491"")"),8.68)</f>
        <v>8.68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7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17.582417582417584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17.582417582417584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17.582417582417584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1">
        <f ca="1">IFERROR(__xludf.DUMMYFUNCTION("IMPORTRANGE(""https://docs.google.com/spreadsheets/d/1SX6NBoVAgQJ6U1MVXOaj8PK2l7WJ3RER9xtqwdhxkhw/edit?usp=sharing"",""ปราจีนบุรี!J523"")"),1975172.6)</f>
        <v>1975172.6</v>
      </c>
      <c r="K628" s="342">
        <f t="shared" ref="K628:K635" ca="1" si="129">IF(I628&gt;0,J628*100/I628,0)</f>
        <v>21.420523569647766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IFERROR(__xludf.DUMMYFUNCTION("IMPORTRANGE(""https://docs.google.com/spreadsheets/d/1SX6NBoVAgQJ6U1MVXOaj8PK2l7WJ3RER9xtqwdhxkhw/edit?usp=sharing"",""ปราจีนบุรี!I524"")"),216)</f>
        <v>216</v>
      </c>
      <c r="J629" s="341">
        <f ca="1">IFERROR(__xludf.DUMMYFUNCTION("IMPORTRANGE(""https://docs.google.com/spreadsheets/d/1SX6NBoVAgQJ6U1MVXOaj8PK2l7WJ3RER9xtqwdhxkhw/edit?usp=sharing"",""ปราจีนบุรี!J524"")"),49)</f>
        <v>49</v>
      </c>
      <c r="K629" s="342">
        <f t="shared" ca="1" si="129"/>
        <v>22.685185185185187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1">
        <f ca="1">IFERROR(__xludf.DUMMYFUNCTION("IMPORTRANGE(""https://docs.google.com/spreadsheets/d/1SX6NBoVAgQJ6U1MVXOaj8PK2l7WJ3RER9xtqwdhxkhw/edit?usp=sharing"",""ปราจีนบุรี!J525"")"),544814.95)</f>
        <v>544814.94999999995</v>
      </c>
      <c r="K630" s="342">
        <f t="shared" ca="1" si="129"/>
        <v>8.068648219074646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IFERROR(__xludf.DUMMYFUNCTION("IMPORTRANGE(""https://docs.google.com/spreadsheets/d/1SX6NBoVAgQJ6U1MVXOaj8PK2l7WJ3RER9xtqwdhxkhw/edit?usp=sharing"",""ปราจีนบุรี!I526"")"),154)</f>
        <v>154</v>
      </c>
      <c r="J631" s="341">
        <f ca="1">IFERROR(__xludf.DUMMYFUNCTION("IMPORTRANGE(""https://docs.google.com/spreadsheets/d/1SX6NBoVAgQJ6U1MVXOaj8PK2l7WJ3RER9xtqwdhxkhw/edit?usp=sharing"",""ปราจีนบุรี!J526"")"),56)</f>
        <v>56</v>
      </c>
      <c r="K631" s="342">
        <f t="shared" ca="1" si="129"/>
        <v>36.363636363636367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1">
        <f ca="1">IFERROR(__xludf.DUMMYFUNCTION("IMPORTRANGE(""https://docs.google.com/spreadsheets/d/1SX6NBoVAgQJ6U1MVXOaj8PK2l7WJ3RER9xtqwdhxkhw/edit?usp=sharing"",""ปราจีนบุรี!J527"")"),311462.77)</f>
        <v>311462.77</v>
      </c>
      <c r="K632" s="342">
        <f t="shared" ca="1" si="129"/>
        <v>109.84458430916548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IFERROR(__xludf.DUMMYFUNCTION("IMPORTRANGE(""https://docs.google.com/spreadsheets/d/1SX6NBoVAgQJ6U1MVXOaj8PK2l7WJ3RER9xtqwdhxkhw/edit?usp=sharing"",""ปราจีนบุรี!I528"")"),136)</f>
        <v>136</v>
      </c>
      <c r="J633" s="341">
        <f ca="1">IFERROR(__xludf.DUMMYFUNCTION("IMPORTRANGE(""https://docs.google.com/spreadsheets/d/1SX6NBoVAgQJ6U1MVXOaj8PK2l7WJ3RER9xtqwdhxkhw/edit?usp=sharing"",""ปราจีนบุรี!J528"")"),101)</f>
        <v>101</v>
      </c>
      <c r="K633" s="342">
        <f t="shared" ca="1" si="129"/>
        <v>74.264705882352942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41">
        <f ca="1">IFERROR(__xludf.DUMMYFUNCTION("IMPORTRANGE(""https://docs.google.com/spreadsheets/d/1SX6NBoVAgQJ6U1MVXOaj8PK2l7WJ3RER9xtqwdhxkhw/edit?usp=sharing"",""ปราจีนบุรี!J529"")"),1440000)</f>
        <v>1440000</v>
      </c>
      <c r="K634" s="342">
        <f t="shared" ca="1" si="129"/>
        <v>32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IFERROR(__xludf.DUMMYFUNCTION("IMPORTRANGE(""https://docs.google.com/spreadsheets/d/1SX6NBoVAgQJ6U1MVXOaj8PK2l7WJ3RER9xtqwdhxkhw/edit?usp=sharing"",""ปราจีนบุรี!I530"")"),90)</f>
        <v>90</v>
      </c>
      <c r="J635" s="504">
        <f ca="1">IFERROR(__xludf.DUMMYFUNCTION("IMPORTRANGE(""https://docs.google.com/spreadsheets/d/1SX6NBoVAgQJ6U1MVXOaj8PK2l7WJ3RER9xtqwdhxkhw/edit?usp=sharing"",""ปราจีนบุรี!J530"")"),34)</f>
        <v>34</v>
      </c>
      <c r="K635" s="486">
        <f t="shared" ca="1" si="129"/>
        <v>37.777777777777779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111300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111300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111300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IFERROR(__xludf.DUMMYFUNCTION("IMPORTRANGE(""https://docs.google.com/spreadsheets/d/1SX6NBoVAgQJ6U1MVXOaj8PK2l7WJ3RER9xtqwdhxkhw/edit#gid=346597447"",""ปราจีนบุรี!J541"")"),0)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IFERROR(__xludf.DUMMYFUNCTION("IMPORTRANGE(""https://docs.google.com/spreadsheets/d/1SX6NBoVAgQJ6U1MVXOaj8PK2l7WJ3RER9xtqwdhxkhw/edit#gid=346597447"",""ปราจีนบุรี!J542"")"),0)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IFERROR(__xludf.DUMMYFUNCTION("IMPORTRANGE(""https://docs.google.com/spreadsheets/d/1SX6NBoVAgQJ6U1MVXOaj8PK2l7WJ3RER9xtqwdhxkhw/edit#gid=346597447"",""ปราจีนบุรี!I543"")"),493)</f>
        <v>493</v>
      </c>
      <c r="J648" s="536">
        <f ca="1">IFERROR(__xludf.DUMMYFUNCTION("IMPORTRANGE(""https://docs.google.com/spreadsheets/d/1SX6NBoVAgQJ6U1MVXOaj8PK2l7WJ3RER9xtqwdhxkhw/edit#gid=346597447"",""ปราจีนบุรี!J543"")"),0)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1"/>
      <c r="N648" s="538">
        <f ca="1">IFERROR(__xludf.DUMMYFUNCTION("IMPORTRANGE(""https://docs.google.com/spreadsheets/d/1SX6NBoVAgQJ6U1MVXOaj8PK2l7WJ3RER9xtqwdhxkhw/edit#gid=346597447"",""ปราจีนบุรี!M543"")"),0)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IFERROR(__xludf.DUMMYFUNCTION("IMPORTRANGE(""https://docs.google.com/spreadsheets/d/1SX6NBoVAgQJ6U1MVXOaj8PK2l7WJ3RER9xtqwdhxkhw/edit#gid=346597447"",""ปราจีนบุรี!I544"")"),171)</f>
        <v>171</v>
      </c>
      <c r="J649" s="536">
        <f ca="1">IFERROR(__xludf.DUMMYFUNCTION("IMPORTRANGE(""https://docs.google.com/spreadsheets/d/1SX6NBoVAgQJ6U1MVXOaj8PK2l7WJ3RER9xtqwdhxkhw/edit#gid=346597447"",""ปราจีนบุรี!J544"")"),0)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1"/>
      <c r="N649" s="538">
        <f ca="1">IFERROR(__xludf.DUMMYFUNCTION("IMPORTRANGE(""https://docs.google.com/spreadsheets/d/1SX6NBoVAgQJ6U1MVXOaj8PK2l7WJ3RER9xtqwdhxkhw/edit#gid=346597447"",""ปราจีนบุรี!M544"")"),0)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IFERROR(__xludf.DUMMYFUNCTION("IMPORTRANGE(""https://docs.google.com/spreadsheets/d/1SX6NBoVAgQJ6U1MVXOaj8PK2l7WJ3RER9xtqwdhxkhw/edit#gid=346597447"",""ปราจีนบุรี!I545"")"),70)</f>
        <v>70</v>
      </c>
      <c r="J650" s="536">
        <f ca="1">IFERROR(__xludf.DUMMYFUNCTION("IMPORTRANGE(""https://docs.google.com/spreadsheets/d/1SX6NBoVAgQJ6U1MVXOaj8PK2l7WJ3RER9xtqwdhxkhw/edit#gid=346597447"",""ปราจีนบุรี!J545"")"),0)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IFERROR(__xludf.DUMMYFUNCTION("IMPORTRANGE(""https://docs.google.com/spreadsheets/d/1SX6NBoVAgQJ6U1MVXOaj8PK2l7WJ3RER9xtqwdhxkhw/edit#gid=346597447"",""ปราจีนบุรี!L545"")"),350)</f>
        <v>350</v>
      </c>
      <c r="M650" s="521"/>
      <c r="N650" s="538">
        <f ca="1">IFERROR(__xludf.DUMMYFUNCTION("IMPORTRANGE(""https://docs.google.com/spreadsheets/d/1SX6NBoVAgQJ6U1MVXOaj8PK2l7WJ3RER9xtqwdhxkhw/edit#gid=346597447"",""ปราจีนบุรี!M545"")"),0)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IFERROR(__xludf.DUMMYFUNCTION("IMPORTRANGE(""https://docs.google.com/spreadsheets/d/1SX6NBoVAgQJ6U1MVXOaj8PK2l7WJ3RER9xtqwdhxkhw/edit#gid=346597447"",""ปราจีนบุรี!I546"")"),62)</f>
        <v>62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IFERROR(__xludf.DUMMYFUNCTION("IMPORTRANGE(""https://docs.google.com/spreadsheets/d/1SX6NBoVAgQJ6U1MVXOaj8PK2l7WJ3RER9xtqwdhxkhw/edit#gid=346597447"",""ปราจีนบุรี!L546"")"),1550)</f>
        <v>1550</v>
      </c>
      <c r="M651" s="521"/>
      <c r="N651" s="538">
        <f ca="1">IFERROR(__xludf.DUMMYFUNCTION("IMPORTRANGE(""https://docs.google.com/spreadsheets/d/1SX6NBoVAgQJ6U1MVXOaj8PK2l7WJ3RER9xtqwdhxkhw/edit#gid=346597447"",""ปราจีนบุรี!M546"")"),0)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IFERROR(__xludf.DUMMYFUNCTION("IMPORTRANGE(""https://docs.google.com/spreadsheets/d/1SX6NBoVAgQJ6U1MVXOaj8PK2l7WJ3RER9xtqwdhxkhw/edit#gid=346597447"",""ปราจีนบุรี!J547"")"),0)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IFERROR(__xludf.DUMMYFUNCTION("IMPORTRANGE(""https://docs.google.com/spreadsheets/d/1SX6NBoVAgQJ6U1MVXOaj8PK2l7WJ3RER9xtqwdhxkhw/edit#gid=346597447"",""ปราจีนบุรี!J548"")"),0)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IFERROR(__xludf.DUMMYFUNCTION("IMPORTRANGE(""https://docs.google.com/spreadsheets/d/1SX6NBoVAgQJ6U1MVXOaj8PK2l7WJ3RER9xtqwdhxkhw/edit#gid=346597447"",""ปราจีนบุรี!J550"")"),0)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IFERROR(__xludf.DUMMYFUNCTION("IMPORTRANGE(""https://docs.google.com/spreadsheets/d/1SX6NBoVAgQJ6U1MVXOaj8PK2l7WJ3RER9xtqwdhxkhw/edit#gid=346597447"",""ปราจีนบุรี!J551"")"),0)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IFERROR(__xludf.DUMMYFUNCTION("IMPORTRANGE(""https://docs.google.com/spreadsheets/d/1SX6NBoVAgQJ6U1MVXOaj8PK2l7WJ3RER9xtqwdhxkhw/edit#gid=346597447"",""ปราจีนบุรี!J552"")"),0)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IFERROR(__xludf.DUMMYFUNCTION("IMPORTRANGE(""https://docs.google.com/spreadsheets/d/1SX6NBoVAgQJ6U1MVXOaj8PK2l7WJ3RER9xtqwdhxkhw/edit#gid=346597447"",""ปราจีนบุรี!J553"")"),0)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IFERROR(__xludf.DUMMYFUNCTION("IMPORTRANGE(""https://docs.google.com/spreadsheets/d/1SX6NBoVAgQJ6U1MVXOaj8PK2l7WJ3RER9xtqwdhxkhw/edit#gid=346597447"",""ปราจีนบุรี!J554"")"),0)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IFERROR(__xludf.DUMMYFUNCTION("IMPORTRANGE(""https://docs.google.com/spreadsheets/d/1SX6NBoVAgQJ6U1MVXOaj8PK2l7WJ3RER9xtqwdhxkhw/edit#gid=346597447"",""ปราจีนบุรี!J555"")"),0)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IFERROR(__xludf.DUMMYFUNCTION("IMPORTRANGE(""https://docs.google.com/spreadsheets/d/1SX6NBoVAgQJ6U1MVXOaj8PK2l7WJ3RER9xtqwdhxkhw/edit#gid=346597447"",""ปราจีนบุรี!J556"")"),0)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IFERROR(__xludf.DUMMYFUNCTION("IMPORTRANGE(""https://docs.google.com/spreadsheets/d/1SX6NBoVAgQJ6U1MVXOaj8PK2l7WJ3RER9xtqwdhxkhw/edit#gid=346597447"",""ปราจีนบุรี!L556"")"),4000)</f>
        <v>4000</v>
      </c>
      <c r="M661" s="521"/>
      <c r="N661" s="538">
        <f ca="1">IFERROR(__xludf.DUMMYFUNCTION("IMPORTRANGE(""https://docs.google.com/spreadsheets/d/1SX6NBoVAgQJ6U1MVXOaj8PK2l7WJ3RER9xtqwdhxkhw/edit#gid=346597447"",""ปราจีนบุรี!M556"")"),0)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IFERROR(__xludf.DUMMYFUNCTION("IMPORTRANGE(""https://docs.google.com/spreadsheets/d/1SX6NBoVAgQJ6U1MVXOaj8PK2l7WJ3RER9xtqwdhxkhw/edit#gid=346597447"",""ปราจีนบุรี!J557"")"),0)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IFERROR(__xludf.DUMMYFUNCTION("IMPORTRANGE(""https://docs.google.com/spreadsheets/d/1SX6NBoVAgQJ6U1MVXOaj8PK2l7WJ3RER9xtqwdhxkhw/edit#gid=346597447"",""ปราจีนบุรี!I558"")"),100)</f>
        <v>100</v>
      </c>
      <c r="J663" s="536">
        <f ca="1">IFERROR(__xludf.DUMMYFUNCTION("IMPORTRANGE(""https://docs.google.com/spreadsheets/d/1SX6NBoVAgQJ6U1MVXOaj8PK2l7WJ3RER9xtqwdhxkhw/edit#gid=346597447"",""ปราจีนบุรี!J558"")"),0)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IFERROR(__xludf.DUMMYFUNCTION("IMPORTRANGE(""https://docs.google.com/spreadsheets/d/1SX6NBoVAgQJ6U1MVXOaj8PK2l7WJ3RER9xtqwdhxkhw/edit#gid=346597447"",""ปราจีนบุรี!I560"")"),10)</f>
        <v>10</v>
      </c>
      <c r="J665" s="536">
        <f ca="1">IFERROR(__xludf.DUMMYFUNCTION("IMPORTRANGE(""https://docs.google.com/spreadsheets/d/1SX6NBoVAgQJ6U1MVXOaj8PK2l7WJ3RER9xtqwdhxkhw/edit#gid=346597447"",""ปราจีนบุรี!J560"")"),1)</f>
        <v>1</v>
      </c>
      <c r="K665" s="537">
        <f ca="1">IF(I665&gt;0,J665*100/I665,0)</f>
        <v>10</v>
      </c>
      <c r="L665" s="522">
        <f ca="1">IFERROR(__xludf.DUMMYFUNCTION("IMPORTRANGE(""https://docs.google.com/spreadsheets/d/1SX6NBoVAgQJ6U1MVXOaj8PK2l7WJ3RER9xtqwdhxkhw/edit#gid=346597447"",""ปราจีนบุรี!L560"")"),1200)</f>
        <v>1200</v>
      </c>
      <c r="M665" s="521"/>
      <c r="N665" s="538">
        <f ca="1">IFERROR(__xludf.DUMMYFUNCTION("IMPORTRANGE(""https://docs.google.com/spreadsheets/d/1SX6NBoVAgQJ6U1MVXOaj8PK2l7WJ3RER9xtqwdhxkhw/edit#gid=346597447"",""ปราจีนบุรี!M560"")"),0)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IFERROR(__xludf.DUMMYFUNCTION("IMPORTRANGE(""https://docs.google.com/spreadsheets/d/1SX6NBoVAgQJ6U1MVXOaj8PK2l7WJ3RER9xtqwdhxkhw/edit#gid=346597447"",""ปราจีนบุรี!J561"")"),1)</f>
        <v>1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IFERROR(__xludf.DUMMYFUNCTION("IMPORTRANGE(""https://docs.google.com/spreadsheets/d/1SX6NBoVAgQJ6U1MVXOaj8PK2l7WJ3RER9xtqwdhxkhw/edit#gid=346597447"",""ปราจีนบุรี!I563"")"),40)</f>
        <v>40</v>
      </c>
      <c r="J668" s="536">
        <f ca="1">IFERROR(__xludf.DUMMYFUNCTION("IMPORTRANGE(""https://docs.google.com/spreadsheets/d/1SX6NBoVAgQJ6U1MVXOaj8PK2l7WJ3RER9xtqwdhxkhw/edit#gid=346597447"",""ปราจีนบุรี!J563"")"),0)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1"/>
      <c r="N668" s="538">
        <f ca="1">IFERROR(__xludf.DUMMYFUNCTION("IMPORTRANGE(""https://docs.google.com/spreadsheets/d/1SX6NBoVAgQJ6U1MVXOaj8PK2l7WJ3RER9xtqwdhxkhw/edit#gid=346597447"",""ปราจีนบุรี!M563"")"),0)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IFERROR(__xludf.DUMMYFUNCTION("IMPORTRANGE(""https://docs.google.com/spreadsheets/d/1SX6NBoVAgQJ6U1MVXOaj8PK2l7WJ3RER9xtqwdhxkhw/edit#gid=346597447"",""ปราจีนบุรี!J564"")"),0)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IFERROR(__xludf.DUMMYFUNCTION("IMPORTRANGE(""https://docs.google.com/spreadsheets/d/1SX6NBoVAgQJ6U1MVXOaj8PK2l7WJ3RER9xtqwdhxkhw/edit#gid=346597447"",""ปราจีนบุรี!J565"")"),0)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IFERROR(__xludf.DUMMYFUNCTION("IMPORTRANGE(""https://docs.google.com/spreadsheets/d/1SX6NBoVAgQJ6U1MVXOaj8PK2l7WJ3RER9xtqwdhxkhw/edit#gid=346597447"",""ปราจีนบุรี!I566"")"),93)</f>
        <v>93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IFERROR(__xludf.DUMMYFUNCTION("IMPORTRANGE(""https://docs.google.com/spreadsheets/d/1SX6NBoVAgQJ6U1MVXOaj8PK2l7WJ3RER9xtqwdhxkhw/edit#gid=346597447"",""ปราจีนบุรี!L566"")"),7440)</f>
        <v>7440</v>
      </c>
      <c r="M671" s="521"/>
      <c r="N671" s="538">
        <f ca="1">IFERROR(__xludf.DUMMYFUNCTION("IMPORTRANGE(""https://docs.google.com/spreadsheets/d/1SX6NBoVAgQJ6U1MVXOaj8PK2l7WJ3RER9xtqwdhxkhw/edit#gid=346597447"",""ปราจีนบุรี!M566"")"),0)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IFERROR(__xludf.DUMMYFUNCTION("IMPORTRANGE(""https://docs.google.com/spreadsheets/d/1SX6NBoVAgQJ6U1MVXOaj8PK2l7WJ3RER9xtqwdhxkhw/edit#gid=346597447"",""ปราจีนบุรี!J567"")"),0)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IFERROR(__xludf.DUMMYFUNCTION("IMPORTRANGE(""https://docs.google.com/spreadsheets/d/1SX6NBoVAgQJ6U1MVXOaj8PK2l7WJ3RER9xtqwdhxkhw/edit#gid=346597447"",""ปราจีนบุรี!J568"")"),0)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IFERROR(__xludf.DUMMYFUNCTION("IMPORTRANGE(""https://docs.google.com/spreadsheets/d/1SX6NBoVAgQJ6U1MVXOaj8PK2l7WJ3RER9xtqwdhxkhw/edit#gid=346597447"",""ปราจีนบุรี!J569"")"),0)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IFERROR(__xludf.DUMMYFUNCTION("IMPORTRANGE(""https://docs.google.com/spreadsheets/d/1SX6NBoVAgQJ6U1MVXOaj8PK2l7WJ3RER9xtqwdhxkhw/edit#gid=346597447"",""ปราจีนบุรี!J570"")"),0)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IFERROR(__xludf.DUMMYFUNCTION("IMPORTRANGE(""https://docs.google.com/spreadsheets/d/1SX6NBoVAgQJ6U1MVXOaj8PK2l7WJ3RER9xtqwdhxkhw/edit#gid=346597447"",""ปราจีนบุรี!J571"")"),0)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IFERROR(__xludf.DUMMYFUNCTION("IMPORTRANGE(""https://docs.google.com/spreadsheets/d/1SX6NBoVAgQJ6U1MVXOaj8PK2l7WJ3RER9xtqwdhxkhw/edit#gid=346597447"",""ปราจีนบุรี!J572"")"),0)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7" sqref="A7:G7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3087582</v>
      </c>
      <c r="M8" s="23">
        <f t="shared" ca="1" si="0"/>
        <v>2235969.2800000003</v>
      </c>
      <c r="N8" s="23">
        <f t="shared" ca="1" si="0"/>
        <v>1908694.03</v>
      </c>
      <c r="O8" s="22">
        <f t="shared" ref="O8:O16" ca="1" si="1">IF(L8&gt;0,N8*100/L8,0)</f>
        <v>61.818407737834981</v>
      </c>
      <c r="P8" s="22">
        <f t="shared" ref="P8:P16" ca="1" si="2">IF(M8&gt;0,N8*100/M8,0)</f>
        <v>85.363159819440796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3087582</v>
      </c>
      <c r="M10" s="30">
        <f t="shared" ca="1" si="4"/>
        <v>2235969.2800000003</v>
      </c>
      <c r="N10" s="30">
        <f t="shared" ca="1" si="4"/>
        <v>1908694.03</v>
      </c>
      <c r="O10" s="29">
        <f t="shared" ca="1" si="1"/>
        <v>61.818407737834981</v>
      </c>
      <c r="P10" s="29">
        <f t="shared" ca="1" si="2"/>
        <v>85.363159819440796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3034382</v>
      </c>
      <c r="M12" s="38">
        <f t="shared" ca="1" si="6"/>
        <v>2182769.2800000003</v>
      </c>
      <c r="N12" s="38">
        <f t="shared" ca="1" si="6"/>
        <v>1855494.03</v>
      </c>
      <c r="O12" s="38">
        <f t="shared" ca="1" si="1"/>
        <v>61.148992776782883</v>
      </c>
      <c r="P12" s="38">
        <f t="shared" ca="1" si="2"/>
        <v>85.006420376229585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1483382</v>
      </c>
      <c r="M14" s="38">
        <f t="shared" si="8"/>
        <v>0</v>
      </c>
      <c r="N14" s="38">
        <f t="shared" ca="1" si="8"/>
        <v>309631.2</v>
      </c>
      <c r="O14" s="38">
        <f t="shared" ca="1" si="1"/>
        <v>20.873328650340909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2451635</v>
      </c>
      <c r="M18" s="23">
        <f t="shared" ca="1" si="11"/>
        <v>2235969.2800000003</v>
      </c>
      <c r="N18" s="23">
        <f t="shared" ca="1" si="11"/>
        <v>1599062.83</v>
      </c>
      <c r="O18" s="22">
        <f t="shared" ref="O18:O20" ca="1" si="12">IF(L18&gt;0,N18*100/L18,0)</f>
        <v>65.224343346379044</v>
      </c>
      <c r="P18" s="22">
        <f t="shared" ref="P18:P26" ca="1" si="13">IF(M18&gt;0,N18*100/M18,0)</f>
        <v>71.515420372859495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2451635</v>
      </c>
      <c r="M20" s="30">
        <f t="shared" ca="1" si="15"/>
        <v>2235969.2800000003</v>
      </c>
      <c r="N20" s="30">
        <f t="shared" ca="1" si="15"/>
        <v>1599062.83</v>
      </c>
      <c r="O20" s="29">
        <f t="shared" ca="1" si="12"/>
        <v>65.224343346379044</v>
      </c>
      <c r="P20" s="29">
        <f t="shared" ca="1" si="13"/>
        <v>71.515420372859495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2398435</v>
      </c>
      <c r="M22" s="41">
        <f t="shared" ca="1" si="18"/>
        <v>2182769.2800000003</v>
      </c>
      <c r="N22" s="38">
        <f t="shared" ca="1" si="18"/>
        <v>1545862.83</v>
      </c>
      <c r="O22" s="38">
        <f t="shared" ca="1" si="17"/>
        <v>64.452979964018198</v>
      </c>
      <c r="P22" s="38">
        <f t="shared" ca="1" si="13"/>
        <v>70.821174008826063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847435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635947</v>
      </c>
      <c r="M28" s="23">
        <f t="shared" si="23"/>
        <v>0</v>
      </c>
      <c r="N28" s="23">
        <f t="shared" ca="1" si="23"/>
        <v>309631.2</v>
      </c>
      <c r="O28" s="22">
        <f t="shared" ref="O28:O30" ca="1" si="24">IF(L28&gt;0,N28*100/L28,0)</f>
        <v>48.688208294087403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635947</v>
      </c>
      <c r="M30" s="30">
        <f t="shared" si="27"/>
        <v>0</v>
      </c>
      <c r="N30" s="30">
        <f t="shared" ca="1" si="27"/>
        <v>309631.2</v>
      </c>
      <c r="O30" s="29">
        <f t="shared" ca="1" si="24"/>
        <v>48.688208294087403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635947</v>
      </c>
      <c r="M32" s="38">
        <f t="shared" si="30"/>
        <v>0</v>
      </c>
      <c r="N32" s="38">
        <f t="shared" ca="1" si="30"/>
        <v>309631.2</v>
      </c>
      <c r="O32" s="38">
        <f t="shared" ca="1" si="29"/>
        <v>48.688208294087403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635947</v>
      </c>
      <c r="M34" s="38">
        <f t="shared" si="32"/>
        <v>0</v>
      </c>
      <c r="N34" s="38">
        <f t="shared" ca="1" si="32"/>
        <v>309631.2</v>
      </c>
      <c r="O34" s="38">
        <f t="shared" ca="1" si="29"/>
        <v>48.688208294087403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2451635</v>
      </c>
      <c r="M37" s="54">
        <f t="shared" ca="1" si="33"/>
        <v>2235969.2800000003</v>
      </c>
      <c r="N37" s="54">
        <f t="shared" ca="1" si="33"/>
        <v>1599062.83</v>
      </c>
      <c r="O37" s="55">
        <f t="shared" ca="1" si="29"/>
        <v>65.224343346379044</v>
      </c>
      <c r="P37" s="55">
        <f t="shared" ca="1" si="25"/>
        <v>71.515420372859495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265400</v>
      </c>
      <c r="N41" s="78">
        <f t="shared" ca="1" si="34"/>
        <v>233640.36</v>
      </c>
      <c r="O41" s="77">
        <f t="shared" ref="O41:O43" ca="1" si="35">IF(L41&gt;0,N41*100/L41,0)</f>
        <v>66.037410966647826</v>
      </c>
      <c r="P41" s="77">
        <f t="shared" ref="P41:P43" ca="1" si="36">IF(M41&gt;0,N41*100/M41,0)</f>
        <v>88.03329314242653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265400</v>
      </c>
      <c r="N43" s="78">
        <f t="shared" ca="1" si="38"/>
        <v>233640.36</v>
      </c>
      <c r="O43" s="77">
        <f t="shared" ca="1" si="35"/>
        <v>66.037410966647826</v>
      </c>
      <c r="P43" s="77">
        <f t="shared" ca="1" si="36"/>
        <v>88.03329314242653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IFERROR(__xludf.DUMMYFUNCTION("IMPORTRANGE(""https://docs.google.com/spreadsheets/d/1Yj_ptqi66GCucihVvJfMjLAmec39IyEx_6qawtMGysU/edit?usp=sharing"",""สบก!Q70"")"),265400)</f>
        <v>265400</v>
      </c>
      <c r="N45" s="49">
        <f ca="1">IFERROR(__xludf.DUMMYFUNCTION("IMPORTRANGE(""https://docs.google.com/spreadsheets/d/1Yj_ptqi66GCucihVvJfMjLAmec39IyEx_6qawtMGysU/edit?usp=sharing"",""สบก!R70"")"),233640.36)</f>
        <v>233640.36</v>
      </c>
      <c r="O45" s="38">
        <f ca="1">IF(L45&gt;0,N45*100/L45,0)</f>
        <v>66.037410966647826</v>
      </c>
      <c r="P45" s="38">
        <f ca="1">IF(M45&gt;0,N45*100/M45,0)</f>
        <v>88.03329314242653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247259.28</v>
      </c>
      <c r="N53" s="121">
        <f t="shared" ca="1" si="39"/>
        <v>192409</v>
      </c>
      <c r="O53" s="120">
        <f t="shared" ref="O53:O55" ca="1" si="40">IF(L53&gt;0,N53*100/L53,0)</f>
        <v>62.067419354838712</v>
      </c>
      <c r="P53" s="120">
        <f t="shared" ref="P53:P55" ca="1" si="41">IF(M53&gt;0,N53*100/M53,0)</f>
        <v>77.816695090271239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247259.28</v>
      </c>
      <c r="N55" s="121">
        <f t="shared" ca="1" si="43"/>
        <v>192409</v>
      </c>
      <c r="O55" s="120">
        <f t="shared" ca="1" si="40"/>
        <v>62.067419354838712</v>
      </c>
      <c r="P55" s="120">
        <f t="shared" ca="1" si="41"/>
        <v>77.816695090271239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IFERROR(__xludf.DUMMYFUNCTION("IMPORTRANGE(""https://docs.google.com/spreadsheets/d/1Yj_ptqi66GCucihVvJfMjLAmec39IyEx_6qawtMGysU/edit?usp=sharing"",""สบก!Z70"")"),247259.28)</f>
        <v>247259.28</v>
      </c>
      <c r="N57" s="49">
        <f ca="1">IFERROR(__xludf.DUMMYFUNCTION("IMPORTRANGE(""https://docs.google.com/spreadsheets/d/1Yj_ptqi66GCucihVvJfMjLAmec39IyEx_6qawtMGysU/edit?usp=sharing"",""สบก!AA70"")"),192409)</f>
        <v>192409</v>
      </c>
      <c r="O57" s="38">
        <f ca="1">IF(L57&gt;0,N57*100/L57,0)</f>
        <v>62.067419354838712</v>
      </c>
      <c r="P57" s="38">
        <f ca="1">IF(M57&gt;0,N57*100/M57,0)</f>
        <v>77.816695090271239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448520</v>
      </c>
      <c r="N66" s="152">
        <f t="shared" ca="1" si="45"/>
        <v>379809.66</v>
      </c>
      <c r="O66" s="151">
        <f t="shared" ref="O66:O68" ca="1" si="46">IF(L66&gt;0,N66*100/L66,0)</f>
        <v>68.163973438621682</v>
      </c>
      <c r="P66" s="151">
        <f t="shared" ref="P66:P68" ca="1" si="47">IF(M66&gt;0,N66*100/M66,0)</f>
        <v>84.68065192187639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448520</v>
      </c>
      <c r="N68" s="157">
        <f t="shared" ca="1" si="49"/>
        <v>379809.66</v>
      </c>
      <c r="O68" s="156">
        <f t="shared" ca="1" si="46"/>
        <v>68.163973438621682</v>
      </c>
      <c r="P68" s="156">
        <f t="shared" ca="1" si="47"/>
        <v>84.68065192187639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557200</v>
      </c>
      <c r="M70" s="168">
        <f ca="1">IFERROR(__xludf.DUMMYFUNCTION("IMPORTRANGE(""https://docs.google.com/spreadsheets/d/1Yj_ptqi66GCucihVvJfMjLAmec39IyEx_6qawtMGysU/edit?usp=sharing"",""สบก!AI70"")"),448520)</f>
        <v>448520</v>
      </c>
      <c r="N70" s="169">
        <f ca="1">IFERROR(__xludf.DUMMYFUNCTION("IMPORTRANGE(""https://docs.google.com/spreadsheets/d/1Yj_ptqi66GCucihVvJfMjLAmec39IyEx_6qawtMGysU/edit?usp=sharing"",""สบก!AJ70"")"),379809.66)</f>
        <v>379809.66</v>
      </c>
      <c r="O70" s="169">
        <f ca="1">IF(L70&gt;0,N70*100/L70,0)</f>
        <v>68.163973438621682</v>
      </c>
      <c r="P70" s="169">
        <f ca="1">IF(M70&gt;0,N70*100/M70,0)</f>
        <v>84.68065192187639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IFERROR(__xludf.DUMMYFUNCTION("IMPORTRANGE(""https://docs.google.com/spreadsheets/d/1SX6NBoVAgQJ6U1MVXOaj8PK2l7WJ3RER9xtqwdhxkhw/edit?usp=sharing"",""พระนครศรีอยุธยา!I28"")"),0)</f>
        <v>0</v>
      </c>
      <c r="J88" s="204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IFERROR(__xludf.DUMMYFUNCTION("IMPORTRANGE(""https://docs.google.com/spreadsheets/d/1Yj_ptqi66GCucihVvJfMjLAmec39IyEx_6qawtMGysU/edit?usp=sharing"",""สบก!BA70"")"),0)</f>
        <v>0</v>
      </c>
      <c r="N122" s="169">
        <f ca="1">IFERROR(__xludf.DUMMYFUNCTION("IMPORTRANGE(""https://docs.google.com/spreadsheets/d/1Yj_ptqi66GCucihVvJfMjLAmec39IyEx_6qawtMGysU/edit?usp=sharing"",""สบก!BB70"")"),0)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283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7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670200</v>
      </c>
      <c r="M140" s="152">
        <f t="shared" ca="1" si="64"/>
        <v>821850</v>
      </c>
      <c r="N140" s="152">
        <f t="shared" ca="1" si="64"/>
        <v>419168.06</v>
      </c>
      <c r="O140" s="151">
        <f t="shared" ref="O140:O142" ca="1" si="65">IF(L140&gt;0,N140*100/L140,0)</f>
        <v>62.543727245598326</v>
      </c>
      <c r="P140" s="151">
        <f t="shared" ref="P140:P142" ca="1" si="66">IF(M140&gt;0,N140*100/M140,0)</f>
        <v>51.002988379874672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670200</v>
      </c>
      <c r="M142" s="157">
        <f t="shared" ca="1" si="68"/>
        <v>821850</v>
      </c>
      <c r="N142" s="157">
        <f t="shared" ca="1" si="68"/>
        <v>419168.06</v>
      </c>
      <c r="O142" s="156">
        <f t="shared" ca="1" si="65"/>
        <v>62.543727245598326</v>
      </c>
      <c r="P142" s="156">
        <f t="shared" ca="1" si="66"/>
        <v>51.002988379874672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670200</v>
      </c>
      <c r="M144" s="168">
        <f ca="1">IFERROR(__xludf.DUMMYFUNCTION("IMPORTRANGE(""https://docs.google.com/spreadsheets/d/1Yj_ptqi66GCucihVvJfMjLAmec39IyEx_6qawtMGysU/edit?usp=sharing"",""สบก!BJ70"")"),821850)</f>
        <v>821850</v>
      </c>
      <c r="N144" s="169">
        <f ca="1">IFERROR(__xludf.DUMMYFUNCTION("IMPORTRANGE(""https://docs.google.com/spreadsheets/d/1Yj_ptqi66GCucihVvJfMjLAmec39IyEx_6qawtMGysU/edit?usp=sharing"",""สบก!BK70"")"),419168.06)</f>
        <v>419168.06</v>
      </c>
      <c r="O144" s="169">
        <f ca="1">IF(L144&gt;0,N144*100/L144,0)</f>
        <v>62.543727245598326</v>
      </c>
      <c r="P144" s="169">
        <f ca="1">IF(M144&gt;0,N144*100/M144,0)</f>
        <v>51.002988379874672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IFERROR(__xludf.DUMMYFUNCTION("IMPORTRANGE(""https://docs.google.com/spreadsheets/d/1Yj_ptqi66GCucihVvJfMjLAmec39IyEx_6qawtMGysU/edit?usp=sharing"",""สบก!BG70"")"),274200)</f>
        <v>274200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5">
        <f ca="1">IFERROR(__xludf.DUMMYFUNCTION("IMPORTRANGE(""https://docs.google.com/spreadsheets/d/1SX6NBoVAgQJ6U1MVXOaj8PK2l7WJ3RER9xtqwdhxkhw/edit?usp=sharing"",""พระนครศรีอยุธยา!J74"")"),1)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IFERROR(__xludf.DUMMYFUNCTION("IMPORTRANGE(""https://docs.google.com/spreadsheets/d/1SX6NBoVAgQJ6U1MVXOaj8PK2l7WJ3RER9xtqwdhxkhw/edit?usp=sharing"",""พระนครศรีอยุธยา!J84"")"),22)</f>
        <v>22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IFERROR(__xludf.DUMMYFUNCTION("IMPORTRANGE(""https://docs.google.com/spreadsheets/d/1SX6NBoVAgQJ6U1MVXOaj8PK2l7WJ3RER9xtqwdhxkhw/edit?usp=sharing"",""พระนครศรีอยุธยา!J85"")"),22)</f>
        <v>22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4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4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4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4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7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20697.599999999999</v>
      </c>
      <c r="O220" s="151">
        <f t="shared" ref="O220:O222" ca="1" si="73">IF(L220&gt;0,N220*100/L220,0)</f>
        <v>97.976804733727803</v>
      </c>
      <c r="P220" s="151">
        <f t="shared" ref="P220:P222" ca="1" si="74">IF(M220&gt;0,N220*100/M220,0)</f>
        <v>97.976804733727803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20697.599999999999</v>
      </c>
      <c r="O222" s="156">
        <f t="shared" ca="1" si="73"/>
        <v>97.976804733727803</v>
      </c>
      <c r="P222" s="156">
        <f t="shared" ca="1" si="74"/>
        <v>97.976804733727803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IFERROR(__xludf.DUMMYFUNCTION("IMPORTRANGE(""https://docs.google.com/spreadsheets/d/1Yj_ptqi66GCucihVvJfMjLAmec39IyEx_6qawtMGysU/edit?usp=sharing"",""สบก!BS70"")"),21125)</f>
        <v>21125</v>
      </c>
      <c r="N224" s="169">
        <f ca="1">IFERROR(__xludf.DUMMYFUNCTION("IMPORTRANGE(""https://docs.google.com/spreadsheets/d/1Yj_ptqi66GCucihVvJfMjLAmec39IyEx_6qawtMGysU/edit?usp=sharing"",""สบก!BT70"")"),20697.6)</f>
        <v>20697.599999999999</v>
      </c>
      <c r="O224" s="169">
        <f ca="1">IF(L224&gt;0,N224*100/L224,0)</f>
        <v>97.976804733727803</v>
      </c>
      <c r="P224" s="169">
        <f ca="1">IF(M224&gt;0,N224*100/M224,0)</f>
        <v>97.976804733727803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7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7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6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6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6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3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39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539310</v>
      </c>
      <c r="M329" s="152">
        <f t="shared" ca="1" si="98"/>
        <v>431815</v>
      </c>
      <c r="N329" s="152">
        <f t="shared" ca="1" si="98"/>
        <v>353338.15</v>
      </c>
      <c r="O329" s="151">
        <f t="shared" ref="O329:O331" ca="1" si="99">IF(L329&gt;0,N329*100/L329,0)</f>
        <v>65.516706532421054</v>
      </c>
      <c r="P329" s="151">
        <f t="shared" ref="P329:P331" ca="1" si="100">IF(M329&gt;0,N329*100/M329,0)</f>
        <v>81.826279772587796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539310</v>
      </c>
      <c r="M331" s="157">
        <f t="shared" ca="1" si="102"/>
        <v>431815</v>
      </c>
      <c r="N331" s="157">
        <f t="shared" ca="1" si="102"/>
        <v>353338.15</v>
      </c>
      <c r="O331" s="156">
        <f t="shared" ca="1" si="99"/>
        <v>65.516706532421054</v>
      </c>
      <c r="P331" s="156">
        <f t="shared" ca="1" si="100"/>
        <v>81.826279772587796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IFERROR(__xludf.DUMMYFUNCTION("IMPORTRANGE(""https://docs.google.com/spreadsheets/d/1Yj_ptqi66GCucihVvJfMjLAmec39IyEx_6qawtMGysU/edit?usp=sharing"",""สบก!DL70"")"),378615)</f>
        <v>378615</v>
      </c>
      <c r="N333" s="169">
        <f ca="1">IFERROR(__xludf.DUMMYFUNCTION("IMPORTRANGE(""https://docs.google.com/spreadsheets/d/1Yj_ptqi66GCucihVvJfMjLAmec39IyEx_6qawtMGysU/edit?usp=sharing"",""สบก!DM70"")"),300138.15)</f>
        <v>300138.15000000002</v>
      </c>
      <c r="O333" s="169">
        <f ca="1">IF(L333&gt;0,N333*100/L333,0)</f>
        <v>61.742846269362907</v>
      </c>
      <c r="P333" s="169">
        <f ca="1">IF(M333&gt;0,N333*100/M333,0)</f>
        <v>79.272651638207691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IFERROR(__xludf.DUMMYFUNCTION("IMPORTRANGE(""https://docs.google.com/spreadsheets/d/1SX6NBoVAgQJ6U1MVXOaj8PK2l7WJ3RER9xtqwdhxkhw/edit?usp=sharing"",""พระนครศรีอยุธยา!L242"")"),635947)</f>
        <v>635947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IFERROR(__xludf.DUMMYFUNCTION("IMPORTRANGE(""https://docs.google.com/spreadsheets/d/1SX6NBoVAgQJ6U1MVXOaj8PK2l7WJ3RER9xtqwdhxkhw/edit?usp=sharing"",""พระนครศรีอยุธยา!M242"")"),309631.2)</f>
        <v>309631.2</v>
      </c>
      <c r="O347" s="358">
        <f ca="1">+IF(L347&gt;0,N347*100/L347,0)</f>
        <v>48.688208294087403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IFERROR(__xludf.DUMMYFUNCTION("IMPORTRANGE(""https://docs.google.com/spreadsheets/d/1SX6NBoVAgQJ6U1MVXOaj8PK2l7WJ3RER9xtqwdhxkhw/edit?usp=sharing"",""พระนครศรีอยุธยา!M296"")"),126192)</f>
        <v>126192</v>
      </c>
      <c r="O401" s="373">
        <f ca="1">+IF(L401&gt;0,N401*100/L401,0)</f>
        <v>54.849393662798278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IFERROR(__xludf.DUMMYFUNCTION("IMPORTRANGE(""https://docs.google.com/spreadsheets/d/1SX6NBoVAgQJ6U1MVXOaj8PK2l7WJ3RER9xtqwdhxkhw/edit?usp=sharing"",""พระนครศรีอยุธยา!M299"")"),126192)</f>
        <v>126192</v>
      </c>
      <c r="O404" s="169">
        <f t="shared" ca="1" si="112"/>
        <v>54.849393662798278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IFERROR(__xludf.DUMMYFUNCTION("IMPORTRANGE(""https://docs.google.com/spreadsheets/d/1SX6NBoVAgQJ6U1MVXOaj8PK2l7WJ3RER9xtqwdhxkhw/edit?usp=sharing"",""พระนครศรีอยุธยา!M301"")"),126192)</f>
        <v>126192</v>
      </c>
      <c r="O406" s="169">
        <f t="shared" ca="1" si="112"/>
        <v>54.849393662798278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IFERROR(__xludf.DUMMYFUNCTION("IMPORTRANGE(""https://docs.google.com/spreadsheets/d/1SX6NBoVAgQJ6U1MVXOaj8PK2l7WJ3RER9xtqwdhxkhw/edit?usp=sharing"",""พระนครศรีอยุธยา!M302"")"),115837)</f>
        <v>115837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IFERROR(__xludf.DUMMYFUNCTION("IMPORTRANGE(""https://docs.google.com/spreadsheets/d/1SX6NBoVAgQJ6U1MVXOaj8PK2l7WJ3RER9xtqwdhxkhw/edit?usp=sharing"",""พระนครศรีอยุธยา!M305"")"),10355)</f>
        <v>10355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IFERROR(__xludf.DUMMYFUNCTION("IMPORTRANGE(""https://docs.google.com/spreadsheets/d/1SX6NBoVAgQJ6U1MVXOaj8PK2l7WJ3RER9xtqwdhxkhw/edit?usp=sharing"",""พระนครศรีอยุธยา!M330"")"),75550.22)</f>
        <v>75550.22</v>
      </c>
      <c r="O435" s="412">
        <f t="shared" ref="O435:O439" ca="1" si="114">+IF(L435&gt;0,N435*100/L435,0)</f>
        <v>64.025610169491529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IFERROR(__xludf.DUMMYFUNCTION("IMPORTRANGE(""https://docs.google.com/spreadsheets/d/1SX6NBoVAgQJ6U1MVXOaj8PK2l7WJ3RER9xtqwdhxkhw/edit?usp=sharing"",""พระนครศรีอยุธยา!M332"")"),75550.22)</f>
        <v>75550.22</v>
      </c>
      <c r="O437" s="169">
        <f t="shared" ca="1" si="114"/>
        <v>64.025610169491529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IFERROR(__xludf.DUMMYFUNCTION("IMPORTRANGE(""https://docs.google.com/spreadsheets/d/1SX6NBoVAgQJ6U1MVXOaj8PK2l7WJ3RER9xtqwdhxkhw/edit?usp=sharing"",""พระนครศรีอยุธยา!M334"")"),75550.22)</f>
        <v>75550.22</v>
      </c>
      <c r="O439" s="169">
        <f t="shared" ca="1" si="114"/>
        <v>64.025610169491529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IFERROR(__xludf.DUMMYFUNCTION("IMPORTRANGE(""https://docs.google.com/spreadsheets/d/1SX6NBoVAgQJ6U1MVXOaj8PK2l7WJ3RER9xtqwdhxkhw/edit?usp=sharing"",""พระนครศรีอยุธยา!M335"")"),67120.1)</f>
        <v>67120.100000000006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IFERROR(__xludf.DUMMYFUNCTION("IMPORTRANGE(""https://docs.google.com/spreadsheets/d/1SX6NBoVAgQJ6U1MVXOaj8PK2l7WJ3RER9xtqwdhxkhw/edit?usp=sharing"",""พระนครศรีอยุธยา!M338"")"),8430.12)</f>
        <v>8430.1200000000008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IFERROR(__xludf.DUMMYFUNCTION("IMPORTRANGE(""https://docs.google.com/spreadsheets/d/1SX6NBoVAgQJ6U1MVXOaj8PK2l7WJ3RER9xtqwdhxkhw/edit?usp=sharing"",""พระนครศรีอยุธยา!M350"")"),27715)</f>
        <v>27715</v>
      </c>
      <c r="O455" s="373">
        <f t="shared" ref="O455:O459" ca="1" si="116">+IF(L455&gt;0,N455*100/L455,0)</f>
        <v>22.989125475915955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IFERROR(__xludf.DUMMYFUNCTION("IMPORTRANGE(""https://docs.google.com/spreadsheets/d/1SX6NBoVAgQJ6U1MVXOaj8PK2l7WJ3RER9xtqwdhxkhw/edit?usp=sharing"",""พระนครศรีอยุธยา!M352"")"),27715)</f>
        <v>27715</v>
      </c>
      <c r="O457" s="169">
        <f t="shared" ca="1" si="116"/>
        <v>22.989125475915955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IFERROR(__xludf.DUMMYFUNCTION("IMPORTRANGE(""https://docs.google.com/spreadsheets/d/1SX6NBoVAgQJ6U1MVXOaj8PK2l7WJ3RER9xtqwdhxkhw/edit?usp=sharing"",""พระนครศรีอยุธยา!M354"")"),27715)</f>
        <v>27715</v>
      </c>
      <c r="O459" s="169">
        <f t="shared" ca="1" si="116"/>
        <v>22.989125475915955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IFERROR(__xludf.DUMMYFUNCTION("IMPORTRANGE(""https://docs.google.com/spreadsheets/d/1SX6NBoVAgQJ6U1MVXOaj8PK2l7WJ3RER9xtqwdhxkhw/edit?usp=sharing"",""พระนครศรีอยุธยา!M358"")"),27715)</f>
        <v>27715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7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IFERROR(__xludf.DUMMYFUNCTION("IMPORTRANGE(""https://docs.google.com/spreadsheets/d/1SX6NBoVAgQJ6U1MVXOaj8PK2l7WJ3RER9xtqwdhxkhw/edit?usp=sharing"",""พระนครศรีอยุธยา!J360"")"),2426.62)</f>
        <v>2426.62</v>
      </c>
      <c r="K465" s="202">
        <f t="shared" ca="1" si="117"/>
        <v>109.4551195308976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IFERROR(__xludf.DUMMYFUNCTION("IMPORTRANGE(""https://docs.google.com/spreadsheets/d/1SX6NBoVAgQJ6U1MVXOaj8PK2l7WJ3RER9xtqwdhxkhw/edit?usp=sharing"",""พระนครศรีอยุธยา!J361"")"),258)</f>
        <v>258</v>
      </c>
      <c r="K466" s="202">
        <f t="shared" ca="1" si="117"/>
        <v>113.65638766519824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IFERROR(__xludf.DUMMYFUNCTION("IMPORTRANGE(""https://docs.google.com/spreadsheets/d/1SX6NBoVAgQJ6U1MVXOaj8PK2l7WJ3RER9xtqwdhxkhw/edit?usp=sharing"",""พระนครศรีอยุธยา!J363"")"),198)</f>
        <v>198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IFERROR(__xludf.DUMMYFUNCTION("IMPORTRANGE(""https://docs.google.com/spreadsheets/d/1SX6NBoVAgQJ6U1MVXOaj8PK2l7WJ3RER9xtqwdhxkhw/edit?usp=sharing"",""พระนครศรีอยุธยา!J365"")"),11)</f>
        <v>11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IFERROR(__xludf.DUMMYFUNCTION("IMPORTRANGE(""https://docs.google.com/spreadsheets/d/1SX6NBoVAgQJ6U1MVXOaj8PK2l7WJ3RER9xtqwdhxkhw/edit?usp=sharing"",""พระนครศรีอยุธยา!J367"")"),49)</f>
        <v>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IFERROR(__xludf.DUMMYFUNCTION("IMPORTRANGE(""https://docs.google.com/spreadsheets/d/1SX6NBoVAgQJ6U1MVXOaj8PK2l7WJ3RER9xtqwdhxkhw/edit?usp=sharing"",""พระนครศรีอยุธยา!J368"")"),2426.62999999999)</f>
        <v>2426.6299999999901</v>
      </c>
      <c r="K473" s="202">
        <f t="shared" ca="1" si="117"/>
        <v>109.45557059088814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IFERROR(__xludf.DUMMYFUNCTION("IMPORTRANGE(""https://docs.google.com/spreadsheets/d/1SX6NBoVAgQJ6U1MVXOaj8PK2l7WJ3RER9xtqwdhxkhw/edit?usp=sharing"",""พระนครศรีอยุธยา!J369"")"),258)</f>
        <v>258</v>
      </c>
      <c r="K474" s="163">
        <f t="shared" ca="1" si="117"/>
        <v>113.65638766519824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IFERROR(__xludf.DUMMYFUNCTION("IMPORTRANGE(""https://docs.google.com/spreadsheets/d/1SX6NBoVAgQJ6U1MVXOaj8PK2l7WJ3RER9xtqwdhxkhw/edit?usp=sharing"",""พระนครศรีอยุธยา!J371"")"),178)</f>
        <v>178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IFERROR(__xludf.DUMMYFUNCTION("IMPORTRANGE(""https://docs.google.com/spreadsheets/d/1SX6NBoVAgQJ6U1MVXOaj8PK2l7WJ3RER9xtqwdhxkhw/edit?usp=sharing"",""พระนครศรีอยุธยา!J373"")"),52)</f>
        <v>52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IFERROR(__xludf.DUMMYFUNCTION("IMPORTRANGE(""https://docs.google.com/spreadsheets/d/1SX6NBoVAgQJ6U1MVXOaj8PK2l7WJ3RER9xtqwdhxkhw/edit?usp=sharing"",""พระนครศรีอยุธยา!J375"")"),28)</f>
        <v>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7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4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4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4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4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IFERROR(__xludf.DUMMYFUNCTION("IMPORTRANGE(""https://docs.google.com/spreadsheets/d/1SX6NBoVAgQJ6U1MVXOaj8PK2l7WJ3RER9xtqwdhxkhw/edit?usp=sharing"",""พระนครศรีอยุธยา!M428"")"),32862)</f>
        <v>32862</v>
      </c>
      <c r="O533" s="412">
        <f t="shared" ref="O533:O537" ca="1" si="118">+IF(L533&gt;0,N533*100/L533,0)</f>
        <v>95.695981362842161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IFERROR(__xludf.DUMMYFUNCTION("IMPORTRANGE(""https://docs.google.com/spreadsheets/d/1SX6NBoVAgQJ6U1MVXOaj8PK2l7WJ3RER9xtqwdhxkhw/edit?usp=sharing"",""พระนครศรีอยุธยา!M430"")"),32862)</f>
        <v>32862</v>
      </c>
      <c r="O535" s="169">
        <f t="shared" ca="1" si="118"/>
        <v>95.695981362842161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IFERROR(__xludf.DUMMYFUNCTION("IMPORTRANGE(""https://docs.google.com/spreadsheets/d/1SX6NBoVAgQJ6U1MVXOaj8PK2l7WJ3RER9xtqwdhxkhw/edit?usp=sharing"",""พระนครศรีอยุธยา!M432"")"),32862)</f>
        <v>32862</v>
      </c>
      <c r="O537" s="169">
        <f t="shared" ca="1" si="118"/>
        <v>95.695981362842161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IFERROR(__xludf.DUMMYFUNCTION("IMPORTRANGE(""https://docs.google.com/spreadsheets/d/1SX6NBoVAgQJ6U1MVXOaj8PK2l7WJ3RER9xtqwdhxkhw/edit?usp=sharing"",""พระนครศรีอยุธยา!M436"")"),15750)</f>
        <v>15750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IFERROR(__xludf.DUMMYFUNCTION("IMPORTRANGE(""https://docs.google.com/spreadsheets/d/1SX6NBoVAgQJ6U1MVXOaj8PK2l7WJ3RER9xtqwdhxkhw/edit?usp=sharing"",""พระนครศรีอยุธยา!J459"")"),877)</f>
        <v>877</v>
      </c>
      <c r="K564" s="372">
        <f ca="1">IF(I564&gt;0,J564*100/I564,0)</f>
        <v>584.66666666666663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IFERROR(__xludf.DUMMYFUNCTION("IMPORTRANGE(""https://docs.google.com/spreadsheets/d/1SX6NBoVAgQJ6U1MVXOaj8PK2l7WJ3RER9xtqwdhxkhw/edit?usp=sharing"",""พระนครศรีอยุธยา!M459"")"),46926.78)</f>
        <v>46926.78</v>
      </c>
      <c r="O564" s="373">
        <f t="shared" ref="O564:O568" ca="1" si="122">+IF(L564&gt;0,N564*100/L564,0)</f>
        <v>37.338303628262253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IFERROR(__xludf.DUMMYFUNCTION("IMPORTRANGE(""https://docs.google.com/spreadsheets/d/1SX6NBoVAgQJ6U1MVXOaj8PK2l7WJ3RER9xtqwdhxkhw/edit?usp=sharing"",""พระนครศรีอยุธยา!M461"")"),46926.78)</f>
        <v>46926.78</v>
      </c>
      <c r="O566" s="169">
        <f t="shared" ca="1" si="122"/>
        <v>37.338303628262253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IFERROR(__xludf.DUMMYFUNCTION("IMPORTRANGE(""https://docs.google.com/spreadsheets/d/1SX6NBoVAgQJ6U1MVXOaj8PK2l7WJ3RER9xtqwdhxkhw/edit?usp=sharing"",""พระนครศรีอยุธยา!M463"")"),46926.78)</f>
        <v>46926.78</v>
      </c>
      <c r="O568" s="169">
        <f t="shared" ca="1" si="122"/>
        <v>37.338303628262253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IFERROR(__xludf.DUMMYFUNCTION("IMPORTRANGE(""https://docs.google.com/spreadsheets/d/1SX6NBoVAgQJ6U1MVXOaj8PK2l7WJ3RER9xtqwdhxkhw/edit?usp=sharing"",""พระนครศรีอยุธยา!M466"")"),31187.78)</f>
        <v>31187.78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IFERROR(__xludf.DUMMYFUNCTION("IMPORTRANGE(""https://docs.google.com/spreadsheets/d/1SX6NBoVAgQJ6U1MVXOaj8PK2l7WJ3RER9xtqwdhxkhw/edit?usp=sharing"",""พระนครศรีอยุธยา!M467"")"),15739)</f>
        <v>15739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IFERROR(__xludf.DUMMYFUNCTION("IMPORTRANGE(""https://docs.google.com/spreadsheets/d/1SX6NBoVAgQJ6U1MVXOaj8PK2l7WJ3RER9xtqwdhxkhw/edit?usp=sharing"",""พระนครศรีอยุธยา!J468"")"),877)</f>
        <v>877</v>
      </c>
      <c r="K573" s="202">
        <f ca="1">IF(I573&gt;0,J573*100/I573,0)</f>
        <v>584.66666666666663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IFERROR(__xludf.DUMMYFUNCTION("IMPORTRANGE(""https://docs.google.com/spreadsheets/d/1SX6NBoVAgQJ6U1MVXOaj8PK2l7WJ3RER9xtqwdhxkhw/edit?usp=sharing"",""พระนครศรีอยุธยา!J472"")"),528)</f>
        <v>528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1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7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IFERROR(__xludf.DUMMYFUNCTION("IMPORTRANGE(""https://docs.google.com/spreadsheets/d/1SX6NBoVAgQJ6U1MVXOaj8PK2l7WJ3RER9xtqwdhxkhw/edit?usp=sharing"",""พระนครศรีอยุธยา!M492"")"),385.2)</f>
        <v>385.2</v>
      </c>
      <c r="O597" s="412">
        <f t="shared" ref="O597:O601" ca="1" si="126">+IF(L597&gt;0,N597*100/L597,0)</f>
        <v>5.2767123287671236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IFERROR(__xludf.DUMMYFUNCTION("IMPORTRANGE(""https://docs.google.com/spreadsheets/d/1SX6NBoVAgQJ6U1MVXOaj8PK2l7WJ3RER9xtqwdhxkhw/edit?usp=sharing"",""พระนครศรีอยุธยา!M494"")"),385.2)</f>
        <v>385.2</v>
      </c>
      <c r="O599" s="169">
        <f t="shared" ca="1" si="126"/>
        <v>5.2767123287671236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IFERROR(__xludf.DUMMYFUNCTION("IMPORTRANGE(""https://docs.google.com/spreadsheets/d/1SX6NBoVAgQJ6U1MVXOaj8PK2l7WJ3RER9xtqwdhxkhw/edit?usp=sharing"",""พระนครศรีอยุธยา!M496"")"),385.2)</f>
        <v>385.2</v>
      </c>
      <c r="O601" s="169">
        <f t="shared" ca="1" si="126"/>
        <v>5.2767123287671236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IFERROR(__xludf.DUMMYFUNCTION("IMPORTRANGE(""https://docs.google.com/spreadsheets/d/1SX6NBoVAgQJ6U1MVXOaj8PK2l7WJ3RER9xtqwdhxkhw/edit?usp=sharing"",""พระนครศรีอยุธยา!M500"")"),385.2)</f>
        <v>385.2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280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280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280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280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1">
        <f ca="1">IFERROR(__xludf.DUMMYFUNCTION("IMPORTRANGE(""https://docs.google.com/spreadsheets/d/1SX6NBoVAgQJ6U1MVXOaj8PK2l7WJ3RER9xtqwdhxkhw/edit?usp=sharing"",""พระนครศรีอยุธยา!J523"")"),10000)</f>
        <v>10000</v>
      </c>
      <c r="K628" s="342">
        <f t="shared" ref="K628:K635" ca="1" si="129">IF(I628&gt;0,J628*100/I628,0)</f>
        <v>3.189308926189983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1">
        <f ca="1">IFERROR(__xludf.DUMMYFUNCTION("IMPORTRANGE(""https://docs.google.com/spreadsheets/d/1SX6NBoVAgQJ6U1MVXOaj8PK2l7WJ3RER9xtqwdhxkhw/edit?usp=sharing"",""พระนครศรีอยุธยา!J524"")"),1)</f>
        <v>1</v>
      </c>
      <c r="K629" s="342">
        <f t="shared" ca="1" si="129"/>
        <v>2.2727272727272729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1">
        <f ca="1">IFERROR(__xludf.DUMMYFUNCTION("IMPORTRANGE(""https://docs.google.com/spreadsheets/d/1SX6NBoVAgQJ6U1MVXOaj8PK2l7WJ3RER9xtqwdhxkhw/edit?usp=sharing"",""พระนครศรีอยุธยา!J525"")"),1772391.86)</f>
        <v>1772391.86</v>
      </c>
      <c r="K630" s="342">
        <f t="shared" ca="1" si="129"/>
        <v>20.008064673351999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1">
        <f ca="1">IFERROR(__xludf.DUMMYFUNCTION("IMPORTRANGE(""https://docs.google.com/spreadsheets/d/1SX6NBoVAgQJ6U1MVXOaj8PK2l7WJ3RER9xtqwdhxkhw/edit?usp=sharing"",""พระนครศรีอยุธยา!J526"")"),160)</f>
        <v>160</v>
      </c>
      <c r="K631" s="342">
        <f t="shared" ca="1" si="129"/>
        <v>60.150375939849624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1">
        <f ca="1">IFERROR(__xludf.DUMMYFUNCTION("IMPORTRANGE(""https://docs.google.com/spreadsheets/d/1SX6NBoVAgQJ6U1MVXOaj8PK2l7WJ3RER9xtqwdhxkhw/edit?usp=sharing"",""พระนครศรีอยุธยา!J527"")"),548414)</f>
        <v>548414</v>
      </c>
      <c r="K632" s="342">
        <f t="shared" ca="1" si="129"/>
        <v>36.079461340288169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1">
        <f ca="1">IFERROR(__xludf.DUMMYFUNCTION("IMPORTRANGE(""https://docs.google.com/spreadsheets/d/1SX6NBoVAgQJ6U1MVXOaj8PK2l7WJ3RER9xtqwdhxkhw/edit?usp=sharing"",""พระนครศรีอยุธยา!J528"")"),1188)</f>
        <v>1188</v>
      </c>
      <c r="K633" s="342">
        <f t="shared" ca="1" si="129"/>
        <v>80.053908355795144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IFERROR(__xludf.DUMMYFUNCTION("IMPORTRANGE(""https://docs.google.com/spreadsheets/d/1SX6NBoVAgQJ6U1MVXOaj8PK2l7WJ3RER9xtqwdhxkhw/edit?usp=sharing"",""พระนครศรีอยุธยา!I529"")"),1500000)</f>
        <v>1500000</v>
      </c>
      <c r="J634" s="341">
        <f ca="1">IFERROR(__xludf.DUMMYFUNCTION("IMPORTRANGE(""https://docs.google.com/spreadsheets/d/1SX6NBoVAgQJ6U1MVXOaj8PK2l7WJ3RER9xtqwdhxkhw/edit?usp=sharing"",""พระนครศรีอยุธยา!J529"")"),760000)</f>
        <v>760000</v>
      </c>
      <c r="K634" s="342">
        <f t="shared" ca="1" si="129"/>
        <v>50.666666666666664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4">
        <f ca="1">IFERROR(__xludf.DUMMYFUNCTION("IMPORTRANGE(""https://docs.google.com/spreadsheets/d/1SX6NBoVAgQJ6U1MVXOaj8PK2l7WJ3RER9xtqwdhxkhw/edit?usp=sharing"",""พระนครศรีอยุธยา!J530"")"),16)</f>
        <v>16</v>
      </c>
      <c r="K635" s="486">
        <f t="shared" ca="1" si="129"/>
        <v>32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59320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59320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59320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IFERROR(__xludf.DUMMYFUNCTION("IMPORTRANGE(""https://docs.google.com/spreadsheets/d/1SX6NBoVAgQJ6U1MVXOaj8PK2l7WJ3RER9xtqwdhxkhw/edit#gid=346597447"",""พระนครศรีอยุธยา!J542"")"),1)</f>
        <v>1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6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1"/>
      <c r="N648" s="538">
        <f ca="1">IFERROR(__xludf.DUMMYFUNCTION("IMPORTRANGE(""https://docs.google.com/spreadsheets/d/1SX6NBoVAgQJ6U1MVXOaj8PK2l7WJ3RER9xtqwdhxkhw/edit#gid=346597447"",""พระนครศรีอยุธยา!M543"")"),0)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6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1"/>
      <c r="N649" s="538">
        <f ca="1">IFERROR(__xludf.DUMMYFUNCTION("IMPORTRANGE(""https://docs.google.com/spreadsheets/d/1SX6NBoVAgQJ6U1MVXOaj8PK2l7WJ3RER9xtqwdhxkhw/edit#gid=346597447"",""พระนครศรีอยุธยา!M544"")"),0)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6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1"/>
      <c r="N650" s="538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1"/>
      <c r="N651" s="538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7"/>
      <c r="L661" s="522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1"/>
      <c r="N661" s="538">
        <f ca="1">IFERROR(__xludf.DUMMYFUNCTION("IMPORTRANGE(""https://docs.google.com/spreadsheets/d/1SX6NBoVAgQJ6U1MVXOaj8PK2l7WJ3RER9xtqwdhxkhw/edit#gid=346597447"",""พระนครศรีอยุธยา!M556"")"),0)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6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6">
        <f ca="1">IFERROR(__xludf.DUMMYFUNCTION("IMPORTRANGE(""https://docs.google.com/spreadsheets/d/1SX6NBoVAgQJ6U1MVXOaj8PK2l7WJ3RER9xtqwdhxkhw/edit#gid=346597447"",""พระนครศรีอยุธยา!J560"")"),0)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1"/>
      <c r="N665" s="538">
        <f ca="1">IFERROR(__xludf.DUMMYFUNCTION("IMPORTRANGE(""https://docs.google.com/spreadsheets/d/1SX6NBoVAgQJ6U1MVXOaj8PK2l7WJ3RER9xtqwdhxkhw/edit#gid=346597447"",""พระนครศรีอยุธยา!M560"")"),0)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IFERROR(__xludf.DUMMYFUNCTION("IMPORTRANGE(""https://docs.google.com/spreadsheets/d/1SX6NBoVAgQJ6U1MVXOaj8PK2l7WJ3RER9xtqwdhxkhw/edit#gid=346597447"",""พระนครศรีอยุธยา!J561"")"),0)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IFERROR(__xludf.DUMMYFUNCTION("IMPORTRANGE(""https://docs.google.com/spreadsheets/d/1SX6NBoVAgQJ6U1MVXOaj8PK2l7WJ3RER9xtqwdhxkhw/edit#gid=346597447"",""พระนครศรีอยุธยา!J562"")"),0)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6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1"/>
      <c r="N668" s="538">
        <f ca="1">IFERROR(__xludf.DUMMYFUNCTION("IMPORTRANGE(""https://docs.google.com/spreadsheets/d/1SX6NBoVAgQJ6U1MVXOaj8PK2l7WJ3RER9xtqwdhxkhw/edit#gid=346597447"",""พระนครศรีอยุธยา!M563"")"),0)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1"/>
      <c r="N671" s="538">
        <f ca="1">IFERROR(__xludf.DUMMYFUNCTION("IMPORTRANGE(""https://docs.google.com/spreadsheets/d/1SX6NBoVAgQJ6U1MVXOaj8PK2l7WJ3RER9xtqwdhxkhw/edit#gid=346597447"",""พระนครศรีอยุธยา!M566"")"),0)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IFERROR(__xludf.DUMMYFUNCTION("IMPORTRANGE(""https://docs.google.com/spreadsheets/d/1SX6NBoVAgQJ6U1MVXOaj8PK2l7WJ3RER9xtqwdhxkhw/edit#gid=346597447"",""พระนครศรีอยุธยา!J567"")"),0)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IFERROR(__xludf.DUMMYFUNCTION("IMPORTRANGE(""https://docs.google.com/spreadsheets/d/1SX6NBoVAgQJ6U1MVXOaj8PK2l7WJ3RER9xtqwdhxkhw/edit#gid=346597447"",""พระนครศรีอยุธยา!J568"")"),0)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IFERROR(__xludf.DUMMYFUNCTION("IMPORTRANGE(""https://docs.google.com/spreadsheets/d/1SX6NBoVAgQJ6U1MVXOaj8PK2l7WJ3RER9xtqwdhxkhw/edit#gid=346597447"",""พระนครศรีอยุธยา!J569"")"),0)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IFERROR(__xludf.DUMMYFUNCTION("IMPORTRANGE(""https://docs.google.com/spreadsheets/d/1SX6NBoVAgQJ6U1MVXOaj8PK2l7WJ3RER9xtqwdhxkhw/edit#gid=346597447"",""พระนครศรีอยุธยา!J570"")"),0)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IFERROR(__xludf.DUMMYFUNCTION("IMPORTRANGE(""https://docs.google.com/spreadsheets/d/1SX6NBoVAgQJ6U1MVXOaj8PK2l7WJ3RER9xtqwdhxkhw/edit#gid=346597447"",""พระนครศรีอยุธยา!J571"")"),0)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IFERROR(__xludf.DUMMYFUNCTION("IMPORTRANGE(""https://docs.google.com/spreadsheets/d/1SX6NBoVAgQJ6U1MVXOaj8PK2l7WJ3RER9xtqwdhxkhw/edit#gid=346597447"",""พระนครศรีอยุธยา!J572"")"),0)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7" sqref="A7:G7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2855602</v>
      </c>
      <c r="M8" s="23">
        <f t="shared" ca="1" si="0"/>
        <v>1565357.8</v>
      </c>
      <c r="N8" s="23">
        <f t="shared" ca="1" si="0"/>
        <v>1812621.51</v>
      </c>
      <c r="O8" s="22">
        <f t="shared" ref="O8:O16" ca="1" si="1">IF(L8&gt;0,N8*100/L8,0)</f>
        <v>63.475985448952621</v>
      </c>
      <c r="P8" s="22">
        <f t="shared" ref="P8:P16" ca="1" si="2">IF(M8&gt;0,N8*100/M8,0)</f>
        <v>115.79598670668138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2855602</v>
      </c>
      <c r="M10" s="30">
        <f t="shared" ca="1" si="4"/>
        <v>1565357.8</v>
      </c>
      <c r="N10" s="30">
        <f t="shared" ca="1" si="4"/>
        <v>1812621.51</v>
      </c>
      <c r="O10" s="29">
        <f t="shared" ca="1" si="1"/>
        <v>63.475985448952621</v>
      </c>
      <c r="P10" s="29">
        <f t="shared" ca="1" si="2"/>
        <v>115.79598670668138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2677602</v>
      </c>
      <c r="M12" s="38">
        <f t="shared" ca="1" si="6"/>
        <v>1387357.8</v>
      </c>
      <c r="N12" s="38">
        <f t="shared" ca="1" si="6"/>
        <v>1634621.51</v>
      </c>
      <c r="O12" s="38">
        <f t="shared" ca="1" si="1"/>
        <v>61.047964185864814</v>
      </c>
      <c r="P12" s="38">
        <f t="shared" ca="1" si="2"/>
        <v>117.82263450711849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1129702</v>
      </c>
      <c r="M14" s="38">
        <f t="shared" si="8"/>
        <v>0</v>
      </c>
      <c r="N14" s="38">
        <f t="shared" ca="1" si="8"/>
        <v>441652</v>
      </c>
      <c r="O14" s="38">
        <f t="shared" ca="1" si="1"/>
        <v>39.094557679812908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178000</v>
      </c>
      <c r="M16" s="38">
        <f t="shared" ca="1" si="10"/>
        <v>178000</v>
      </c>
      <c r="N16" s="38">
        <f t="shared" ca="1" si="10"/>
        <v>178000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2005105</v>
      </c>
      <c r="M18" s="23">
        <f t="shared" ca="1" si="11"/>
        <v>1565357.8</v>
      </c>
      <c r="N18" s="23">
        <f t="shared" ca="1" si="11"/>
        <v>1370969.51</v>
      </c>
      <c r="O18" s="22">
        <f t="shared" ref="O18:O20" ca="1" si="12">IF(L18&gt;0,N18*100/L18,0)</f>
        <v>68.373950990097782</v>
      </c>
      <c r="P18" s="22">
        <f t="shared" ref="P18:P26" ca="1" si="13">IF(M18&gt;0,N18*100/M18,0)</f>
        <v>87.581862114846842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2005105</v>
      </c>
      <c r="M20" s="30">
        <f t="shared" ca="1" si="15"/>
        <v>1565357.8</v>
      </c>
      <c r="N20" s="30">
        <f t="shared" ca="1" si="15"/>
        <v>1370969.51</v>
      </c>
      <c r="O20" s="29">
        <f t="shared" ca="1" si="12"/>
        <v>68.373950990097782</v>
      </c>
      <c r="P20" s="29">
        <f t="shared" ca="1" si="13"/>
        <v>87.581862114846842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1827105</v>
      </c>
      <c r="M22" s="41">
        <f t="shared" ca="1" si="18"/>
        <v>1387357.8</v>
      </c>
      <c r="N22" s="38">
        <f t="shared" ca="1" si="18"/>
        <v>1192969.51</v>
      </c>
      <c r="O22" s="38">
        <f t="shared" ca="1" si="17"/>
        <v>65.292881908812021</v>
      </c>
      <c r="P22" s="38">
        <f t="shared" ca="1" si="13"/>
        <v>85.988597173706736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279205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178000</v>
      </c>
      <c r="M26" s="49">
        <f t="shared" ca="1" si="22"/>
        <v>178000</v>
      </c>
      <c r="N26" s="49">
        <f t="shared" ca="1" si="22"/>
        <v>178000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850497</v>
      </c>
      <c r="M28" s="23">
        <f t="shared" si="23"/>
        <v>0</v>
      </c>
      <c r="N28" s="23">
        <f t="shared" ca="1" si="23"/>
        <v>441652</v>
      </c>
      <c r="O28" s="22">
        <f t="shared" ref="O28:O30" ca="1" si="24">IF(L28&gt;0,N28*100/L28,0)</f>
        <v>51.928695809626603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850497</v>
      </c>
      <c r="M30" s="30">
        <f t="shared" si="27"/>
        <v>0</v>
      </c>
      <c r="N30" s="30">
        <f t="shared" ca="1" si="27"/>
        <v>441652</v>
      </c>
      <c r="O30" s="29">
        <f t="shared" ca="1" si="24"/>
        <v>51.928695809626603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850497</v>
      </c>
      <c r="M32" s="38">
        <f t="shared" si="30"/>
        <v>0</v>
      </c>
      <c r="N32" s="38">
        <f t="shared" ca="1" si="30"/>
        <v>441652</v>
      </c>
      <c r="O32" s="38">
        <f t="shared" ca="1" si="29"/>
        <v>51.928695809626603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850497</v>
      </c>
      <c r="M34" s="38">
        <f t="shared" si="32"/>
        <v>0</v>
      </c>
      <c r="N34" s="38">
        <f t="shared" ca="1" si="32"/>
        <v>441652</v>
      </c>
      <c r="O34" s="38">
        <f t="shared" ca="1" si="29"/>
        <v>51.928695809626603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2005105</v>
      </c>
      <c r="M37" s="54">
        <f t="shared" ca="1" si="33"/>
        <v>1565357.8</v>
      </c>
      <c r="N37" s="54">
        <f t="shared" ca="1" si="33"/>
        <v>1370969.51</v>
      </c>
      <c r="O37" s="55">
        <f t="shared" ca="1" si="29"/>
        <v>68.373950990097782</v>
      </c>
      <c r="P37" s="55">
        <f t="shared" ca="1" si="25"/>
        <v>87.581862114846842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862100</v>
      </c>
      <c r="M41" s="78">
        <f t="shared" ca="1" si="34"/>
        <v>691100</v>
      </c>
      <c r="N41" s="78">
        <f t="shared" ca="1" si="34"/>
        <v>602176.71</v>
      </c>
      <c r="O41" s="77">
        <f t="shared" ref="O41:O43" ca="1" si="35">IF(L41&gt;0,N41*100/L41,0)</f>
        <v>69.849983760584621</v>
      </c>
      <c r="P41" s="77">
        <f t="shared" ref="P41:P43" ca="1" si="36">IF(M41&gt;0,N41*100/M41,0)</f>
        <v>87.133079149182464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862100</v>
      </c>
      <c r="M43" s="78">
        <f t="shared" ca="1" si="38"/>
        <v>691100</v>
      </c>
      <c r="N43" s="78">
        <f t="shared" ca="1" si="38"/>
        <v>602176.71</v>
      </c>
      <c r="O43" s="77">
        <f t="shared" ca="1" si="35"/>
        <v>69.849983760584621</v>
      </c>
      <c r="P43" s="77">
        <f t="shared" ca="1" si="36"/>
        <v>87.133079149182464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IFERROR(__xludf.DUMMYFUNCTION("IMPORTRANGE(""https://docs.google.com/spreadsheets/d/1Yj_ptqi66GCucihVvJfMjLAmec39IyEx_6qawtMGysU/edit?usp=sharing"",""สบก!Q71"")"),513100)</f>
        <v>513100</v>
      </c>
      <c r="N45" s="49">
        <f ca="1">IFERROR(__xludf.DUMMYFUNCTION("IMPORTRANGE(""https://docs.google.com/spreadsheets/d/1Yj_ptqi66GCucihVvJfMjLAmec39IyEx_6qawtMGysU/edit?usp=sharing"",""สบก!R71"")"),424176.71)</f>
        <v>424176.71</v>
      </c>
      <c r="O45" s="38">
        <f ca="1">IF(L45&gt;0,N45*100/L45,0)</f>
        <v>62.005073819617017</v>
      </c>
      <c r="P45" s="38">
        <f ca="1">IF(M45&gt;0,N45*100/M45,0)</f>
        <v>82.669403625024358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IFERROR(__xludf.DUMMYFUNCTION("IMPORTRANGE(""https://docs.google.com/spreadsheets/d/1Yj_ptqi66GCucihVvJfMjLAmec39IyEx_6qawtMGysU/edit?usp=sharing"",""สบก!O71"")"),178000)</f>
        <v>178000</v>
      </c>
      <c r="M49" s="49">
        <f ca="1">L49</f>
        <v>178000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291987.8</v>
      </c>
      <c r="N53" s="121">
        <f t="shared" ca="1" si="39"/>
        <v>211324</v>
      </c>
      <c r="O53" s="120">
        <f t="shared" ref="O53:O55" ca="1" si="40">IF(L53&gt;0,N53*100/L53,0)</f>
        <v>57.114594594594593</v>
      </c>
      <c r="P53" s="120">
        <f t="shared" ref="P53:P55" ca="1" si="41">IF(M53&gt;0,N53*100/M53,0)</f>
        <v>72.374256732644312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291987.8</v>
      </c>
      <c r="N55" s="121">
        <f t="shared" ca="1" si="43"/>
        <v>211324</v>
      </c>
      <c r="O55" s="120">
        <f t="shared" ca="1" si="40"/>
        <v>57.114594594594593</v>
      </c>
      <c r="P55" s="120">
        <f t="shared" ca="1" si="41"/>
        <v>72.374256732644312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IFERROR(__xludf.DUMMYFUNCTION("IMPORTRANGE(""https://docs.google.com/spreadsheets/d/1Yj_ptqi66GCucihVvJfMjLAmec39IyEx_6qawtMGysU/edit?usp=sharing"",""สบก!Z71"")"),291987.8)</f>
        <v>291987.8</v>
      </c>
      <c r="N57" s="49">
        <f ca="1">IFERROR(__xludf.DUMMYFUNCTION("IMPORTRANGE(""https://docs.google.com/spreadsheets/d/1Yj_ptqi66GCucihVvJfMjLAmec39IyEx_6qawtMGysU/edit?usp=sharing"",""สบก!AA71"")"),211324)</f>
        <v>211324</v>
      </c>
      <c r="O57" s="38">
        <f ca="1">IF(L57&gt;0,N57*100/L57,0)</f>
        <v>57.114594594594593</v>
      </c>
      <c r="P57" s="38">
        <f ca="1">IF(M57&gt;0,N57*100/M57,0)</f>
        <v>72.374256732644312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IFERROR(__xludf.DUMMYFUNCTION("IMPORTRANGE(""https://docs.google.com/spreadsheets/d/1Yj_ptqi66GCucihVvJfMjLAmec39IyEx_6qawtMGysU/edit?usp=sharing"",""สบก!AI71"")"),0)</f>
        <v>0</v>
      </c>
      <c r="N70" s="169">
        <f ca="1">IFERROR(__xludf.DUMMYFUNCTION("IMPORTRANGE(""https://docs.google.com/spreadsheets/d/1Yj_ptqi66GCucihVvJfMjLAmec39IyEx_6qawtMGysU/edit?usp=sharing"",""สบก!AJ71"")"),0)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IFERROR(__xludf.DUMMYFUNCTION("IMPORTRANGE(""https://docs.google.com/spreadsheets/d/1SX6NBoVAgQJ6U1MVXOaj8PK2l7WJ3RER9xtqwdhxkhw/edit?usp=sharing"",""เพชรบุรี!J50"")"),0)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285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IFERROR(__xludf.DUMMYFUNCTION("IMPORTRANGE(""https://docs.google.com/spreadsheets/d/1SX6NBoVAgQJ6U1MVXOaj8PK2l7WJ3RER9xtqwdhxkhw/edit?usp=sharing"",""เพชรบุรี!J65"")"),0)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IFERROR(__xludf.DUMMYFUNCTION("IMPORTRANGE(""https://docs.google.com/spreadsheets/d/1SX6NBoVAgQJ6U1MVXOaj8PK2l7WJ3RER9xtqwdhxkhw/edit?usp=sharing"",""เพชรบุรี!I68"")"),0)</f>
        <v>0</v>
      </c>
      <c r="J138" s="267">
        <f ca="1">IFERROR(__xludf.DUMMYFUNCTION("IMPORTRANGE(""https://docs.google.com/spreadsheets/d/1SX6NBoVAgQJ6U1MVXOaj8PK2l7WJ3RER9xtqwdhxkhw/edit?usp=sharing"",""เพชรบุรี!J68"")"),0)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50000</v>
      </c>
      <c r="M140" s="152">
        <f t="shared" ca="1" si="64"/>
        <v>41625</v>
      </c>
      <c r="N140" s="152">
        <f t="shared" ca="1" si="64"/>
        <v>35235</v>
      </c>
      <c r="O140" s="151">
        <f t="shared" ref="O140:O142" ca="1" si="65">IF(L140&gt;0,N140*100/L140,0)</f>
        <v>70.47</v>
      </c>
      <c r="P140" s="151">
        <f t="shared" ref="P140:P142" ca="1" si="66">IF(M140&gt;0,N140*100/M140,0)</f>
        <v>84.648648648648646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50000</v>
      </c>
      <c r="M142" s="157">
        <f t="shared" ca="1" si="68"/>
        <v>41625</v>
      </c>
      <c r="N142" s="157">
        <f t="shared" ca="1" si="68"/>
        <v>35235</v>
      </c>
      <c r="O142" s="156">
        <f t="shared" ca="1" si="65"/>
        <v>70.47</v>
      </c>
      <c r="P142" s="156">
        <f t="shared" ca="1" si="66"/>
        <v>84.648648648648646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50000</v>
      </c>
      <c r="M144" s="168">
        <f ca="1">IFERROR(__xludf.DUMMYFUNCTION("IMPORTRANGE(""https://docs.google.com/spreadsheets/d/1Yj_ptqi66GCucihVvJfMjLAmec39IyEx_6qawtMGysU/edit?usp=sharing"",""สบก!BJ71"")"),41625)</f>
        <v>41625</v>
      </c>
      <c r="N144" s="169">
        <f ca="1">IFERROR(__xludf.DUMMYFUNCTION("IMPORTRANGE(""https://docs.google.com/spreadsheets/d/1Yj_ptqi66GCucihVvJfMjLAmec39IyEx_6qawtMGysU/edit?usp=sharing"",""สบก!BK71"")"),35235)</f>
        <v>35235</v>
      </c>
      <c r="O144" s="169">
        <f ca="1">IF(L144&gt;0,N144*100/L144,0)</f>
        <v>70.47</v>
      </c>
      <c r="P144" s="169">
        <f ca="1">IF(M144&gt;0,N144*100/M144,0)</f>
        <v>84.648648648648646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IFERROR(__xludf.DUMMYFUNCTION("IMPORTRANGE(""https://docs.google.com/spreadsheets/d/1Yj_ptqi66GCucihVvJfMjLAmec39IyEx_6qawtMGysU/edit?usp=sharing"",""สบก!BG71"")"),50000)</f>
        <v>50000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IFERROR(__xludf.DUMMYFUNCTION("IMPORTRANGE(""https://docs.google.com/spreadsheets/d/1SX6NBoVAgQJ6U1MVXOaj8PK2l7WJ3RER9xtqwdhxkhw/edit?usp=sharing"",""เพชรบุรี!I74"")"),4)</f>
        <v>4</v>
      </c>
      <c r="J149" s="275">
        <f ca="1">IFERROR(__xludf.DUMMYFUNCTION("IMPORTRANGE(""https://docs.google.com/spreadsheets/d/1SX6NBoVAgQJ6U1MVXOaj8PK2l7WJ3RER9xtqwdhxkhw/edit?usp=sharing"",""เพชรบุรี!J74"")"),2)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IFERROR(__xludf.DUMMYFUNCTION("IMPORTRANGE(""https://docs.google.com/spreadsheets/d/1SX6NBoVAgQJ6U1MVXOaj8PK2l7WJ3RER9xtqwdhxkhw/edit?usp=sharing"",""เพชรบุรี!J84"")"),77)</f>
        <v>77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IFERROR(__xludf.DUMMYFUNCTION("IMPORTRANGE(""https://docs.google.com/spreadsheets/d/1SX6NBoVAgQJ6U1MVXOaj8PK2l7WJ3RER9xtqwdhxkhw/edit?usp=sharing"",""เพชรบุรี!J85"")"),77)</f>
        <v>77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IFERROR(__xludf.DUMMYFUNCTION("IMPORTRANGE(""https://docs.google.com/spreadsheets/d/1SX6NBoVAgQJ6U1MVXOaj8PK2l7WJ3RER9xtqwdhxkhw/edit?usp=sharing"",""เพชรบุรี!I89"")"),2)</f>
        <v>2</v>
      </c>
      <c r="J164" s="284">
        <f ca="1">IFERROR(__xludf.DUMMYFUNCTION("IMPORTRANGE(""https://docs.google.com/spreadsheets/d/1SX6NBoVAgQJ6U1MVXOaj8PK2l7WJ3RER9xtqwdhxkhw/edit?usp=sharing"",""เพชรบุรี!J89"")"),2)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IFERROR(__xludf.DUMMYFUNCTION("IMPORTRANGE(""https://docs.google.com/spreadsheets/d/1SX6NBoVAgQJ6U1MVXOaj8PK2l7WJ3RER9xtqwdhxkhw/edit?usp=sharing"",""เพชรบุรี!I101"")"),0)</f>
        <v>0</v>
      </c>
      <c r="J176" s="284">
        <f ca="1">IFERROR(__xludf.DUMMYFUNCTION("IMPORTRANGE(""https://docs.google.com/spreadsheets/d/1SX6NBoVAgQJ6U1MVXOaj8PK2l7WJ3RER9xtqwdhxkhw/edit?usp=sharing"",""เพชรบุรี!J101"")"),0)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IFERROR(__xludf.DUMMYFUNCTION("IMPORTRANGE(""https://docs.google.com/spreadsheets/d/1SX6NBoVAgQJ6U1MVXOaj8PK2l7WJ3RER9xtqwdhxkhw/edit?usp=sharing"",""เพชรบุรี!J113"")"),0)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IFERROR(__xludf.DUMMYFUNCTION("IMPORTRANGE(""https://docs.google.com/spreadsheets/d/1SX6NBoVAgQJ6U1MVXOaj8PK2l7WJ3RER9xtqwdhxkhw/edit?usp=sharing"",""เพชรบุรี!I114"")"),30000)</f>
        <v>30000</v>
      </c>
      <c r="J189" s="284">
        <f ca="1">IFERROR(__xludf.DUMMYFUNCTION("IMPORTRANGE(""https://docs.google.com/spreadsheets/d/1SX6NBoVAgQJ6U1MVXOaj8PK2l7WJ3RER9xtqwdhxkhw/edit?usp=sharing"",""เพชรบุรี!J114"")"),0)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IFERROR(__xludf.DUMMYFUNCTION("IMPORTRANGE(""https://docs.google.com/spreadsheets/d/1SX6NBoVAgQJ6U1MVXOaj8PK2l7WJ3RER9xtqwdhxkhw/edit?usp=sharing"",""เพชรบุรี!J128"")"),0)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IFERROR(__xludf.DUMMYFUNCTION("IMPORTRANGE(""https://docs.google.com/spreadsheets/d/1SX6NBoVAgQJ6U1MVXOaj8PK2l7WJ3RER9xtqwdhxkhw/edit?usp=sharing"",""เพชรบุรี!I129"")"),0)</f>
        <v>0</v>
      </c>
      <c r="J204" s="284">
        <f ca="1">IFERROR(__xludf.DUMMYFUNCTION("IMPORTRANGE(""https://docs.google.com/spreadsheets/d/1SX6NBoVAgQJ6U1MVXOaj8PK2l7WJ3RER9xtqwdhxkhw/edit?usp=sharing"",""เพชรบุรี!J129"")"),0)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IFERROR(__xludf.DUMMYFUNCTION("IMPORTRANGE(""https://docs.google.com/spreadsheets/d/1SX6NBoVAgQJ6U1MVXOaj8PK2l7WJ3RER9xtqwdhxkhw/edit?usp=sharing"",""เพชรบุรี!J143"")"),0)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IFERROR(__xludf.DUMMYFUNCTION("IMPORTRANGE(""https://docs.google.com/spreadsheets/d/1SX6NBoVAgQJ6U1MVXOaj8PK2l7WJ3RER9xtqwdhxkhw/edit?usp=sharing"",""เพชรบุรี!I144"")"),15)</f>
        <v>15</v>
      </c>
      <c r="J219" s="267">
        <f ca="1">IFERROR(__xludf.DUMMYFUNCTION("IMPORTRANGE(""https://docs.google.com/spreadsheets/d/1SX6NBoVAgQJ6U1MVXOaj8PK2l7WJ3RER9xtqwdhxkhw/edit?usp=sharing"",""เพชรบุรี!J144"")"),15)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20145</v>
      </c>
      <c r="O220" s="151">
        <f t="shared" ref="O220:O222" ca="1" si="73">IF(L220&gt;0,N220*100/L220,0)</f>
        <v>95.360946745562131</v>
      </c>
      <c r="P220" s="151">
        <f t="shared" ref="P220:P222" ca="1" si="74">IF(M220&gt;0,N220*100/M220,0)</f>
        <v>95.360946745562131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20145</v>
      </c>
      <c r="O222" s="156">
        <f t="shared" ca="1" si="73"/>
        <v>95.360946745562131</v>
      </c>
      <c r="P222" s="156">
        <f t="shared" ca="1" si="74"/>
        <v>95.360946745562131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IFERROR(__xludf.DUMMYFUNCTION("IMPORTRANGE(""https://docs.google.com/spreadsheets/d/1Yj_ptqi66GCucihVvJfMjLAmec39IyEx_6qawtMGysU/edit?usp=sharing"",""สบก!BS71"")"),21125)</f>
        <v>21125</v>
      </c>
      <c r="N224" s="169">
        <f ca="1">IFERROR(__xludf.DUMMYFUNCTION("IMPORTRANGE(""https://docs.google.com/spreadsheets/d/1Yj_ptqi66GCucihVvJfMjLAmec39IyEx_6qawtMGysU/edit?usp=sharing"",""สบก!BT71"")"),20145)</f>
        <v>20145</v>
      </c>
      <c r="O224" s="169">
        <f ca="1">IF(L224&gt;0,N224*100/L224,0)</f>
        <v>95.360946745562131</v>
      </c>
      <c r="P224" s="169">
        <f ca="1">IF(M224&gt;0,N224*100/M224,0)</f>
        <v>95.360946745562131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IFERROR(__xludf.DUMMYFUNCTION("IMPORTRANGE(""https://docs.google.com/spreadsheets/d/1SX6NBoVAgQJ6U1MVXOaj8PK2l7WJ3RER9xtqwdhxkhw/edit?usp=sharing"",""เพชรบุรี!I149"")"),15)</f>
        <v>15</v>
      </c>
      <c r="J229" s="267">
        <f ca="1">IFERROR(__xludf.DUMMYFUNCTION("IMPORTRANGE(""https://docs.google.com/spreadsheets/d/1SX6NBoVAgQJ6U1MVXOaj8PK2l7WJ3RER9xtqwdhxkhw/edit?usp=sharing"",""เพชรบุรี!J149"")"),15)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IFERROR(__xludf.DUMMYFUNCTION("IMPORTRANGE(""https://docs.google.com/spreadsheets/d/1SX6NBoVAgQJ6U1MVXOaj8PK2l7WJ3RER9xtqwdhxkhw/edit?usp=sharing"",""เพชรบุรี!I158"")"),0)</f>
        <v>0</v>
      </c>
      <c r="J238" s="267">
        <f ca="1">IFERROR(__xludf.DUMMYFUNCTION("IMPORTRANGE(""https://docs.google.com/spreadsheets/d/1SX6NBoVAgQJ6U1MVXOaj8PK2l7WJ3RER9xtqwdhxkhw/edit?usp=sharing"",""เพชรบุรี!J158"")"),0)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IFERROR(__xludf.DUMMYFUNCTION("IMPORTRANGE(""https://docs.google.com/spreadsheets/d/1SX6NBoVAgQJ6U1MVXOaj8PK2l7WJ3RER9xtqwdhxkhw/edit?usp=sharing"",""เพชรบุรี!J166"")"),0)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IFERROR(__xludf.DUMMYFUNCTION("IMPORTRANGE(""https://docs.google.com/spreadsheets/d/1SX6NBoVAgQJ6U1MVXOaj8PK2l7WJ3RER9xtqwdhxkhw/edit?usp=sharing"",""เพชรบุรี!I169"")"),0)</f>
        <v>0</v>
      </c>
      <c r="J249" s="316">
        <f ca="1">IFERROR(__xludf.DUMMYFUNCTION("IMPORTRANGE(""https://docs.google.com/spreadsheets/d/1SX6NBoVAgQJ6U1MVXOaj8PK2l7WJ3RER9xtqwdhxkhw/edit?usp=sharing"",""เพชรบุรี!J169"")"),0)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IFERROR(__xludf.DUMMYFUNCTION("IMPORTRANGE(""https://docs.google.com/spreadsheets/d/1SX6NBoVAgQJ6U1MVXOaj8PK2l7WJ3RER9xtqwdhxkhw/edit?usp=sharing"",""เพชรบุรี!J184"")"),0)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IFERROR(__xludf.DUMMYFUNCTION("IMPORTRANGE(""https://docs.google.com/spreadsheets/d/1SX6NBoVAgQJ6U1MVXOaj8PK2l7WJ3RER9xtqwdhxkhw/edit?usp=sharing"",""เพชรบุรี!I185"")"),0)</f>
        <v>0</v>
      </c>
      <c r="J270" s="316">
        <f ca="1">IFERROR(__xludf.DUMMYFUNCTION("IMPORTRANGE(""https://docs.google.com/spreadsheets/d/1SX6NBoVAgQJ6U1MVXOaj8PK2l7WJ3RER9xtqwdhxkhw/edit?usp=sharing"",""เพชรบุรี!J185"")"),0)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IFERROR(__xludf.DUMMYFUNCTION("IMPORTRANGE(""https://docs.google.com/spreadsheets/d/1SX6NBoVAgQJ6U1MVXOaj8PK2l7WJ3RER9xtqwdhxkhw/edit?usp=sharing"",""เพชรบุรี!I199"")"),0)</f>
        <v>0</v>
      </c>
      <c r="J289" s="316">
        <f ca="1">IFERROR(__xludf.DUMMYFUNCTION("IMPORTRANGE(""https://docs.google.com/spreadsheets/d/1SX6NBoVAgQJ6U1MVXOaj8PK2l7WJ3RER9xtqwdhxkhw/edit?usp=sharing"",""เพชรบุรี!J199"")"),0)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IFERROR(__xludf.DUMMYFUNCTION("IMPORTRANGE(""https://docs.google.com/spreadsheets/d/1SX6NBoVAgQJ6U1MVXOaj8PK2l7WJ3RER9xtqwdhxkhw/edit?usp=sharing"",""เพชรบุรี!J213"")"),0)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IFERROR(__xludf.DUMMYFUNCTION("IMPORTRANGE(""https://docs.google.com/spreadsheets/d/1SX6NBoVAgQJ6U1MVXOaj8PK2l7WJ3RER9xtqwdhxkhw/edit?usp=sharing"",""เพชรบุรี!I214"")"),0)</f>
        <v>0</v>
      </c>
      <c r="J309" s="333">
        <f ca="1">IFERROR(__xludf.DUMMYFUNCTION("IMPORTRANGE(""https://docs.google.com/spreadsheets/d/1SX6NBoVAgQJ6U1MVXOaj8PK2l7WJ3RER9xtqwdhxkhw/edit?usp=sharing"",""เพชรบุรี!J214"")"),0)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IFERROR(__xludf.DUMMYFUNCTION("IMPORTRANGE(""https://docs.google.com/spreadsheets/d/1SX6NBoVAgQJ6U1MVXOaj8PK2l7WJ3RER9xtqwdhxkhw/edit?usp=sharing"",""เพชรบุรี!J226"")"),0)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IFERROR(__xludf.DUMMYFUNCTION("IMPORTRANGE(""https://docs.google.com/spreadsheets/d/1SX6NBoVAgQJ6U1MVXOaj8PK2l7WJ3RER9xtqwdhxkhw/edit?usp=sharing"",""เพชรบุรี!I228"")"),33)</f>
        <v>33</v>
      </c>
      <c r="J328" s="339">
        <f ca="1">IFERROR(__xludf.DUMMYFUNCTION("IMPORTRANGE(""https://docs.google.com/spreadsheets/d/1SX6NBoVAgQJ6U1MVXOaj8PK2l7WJ3RER9xtqwdhxkhw/edit?usp=sharing"",""เพชรบุรี!J228"")"),5)</f>
        <v>5</v>
      </c>
      <c r="K328" s="317">
        <f ca="1">IF(I328&gt;0,J328*100/I328,0)</f>
        <v>15.151515151515152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701880</v>
      </c>
      <c r="M329" s="152">
        <f t="shared" ca="1" si="98"/>
        <v>519520</v>
      </c>
      <c r="N329" s="152">
        <f t="shared" ca="1" si="98"/>
        <v>502088.8</v>
      </c>
      <c r="O329" s="151">
        <f t="shared" ref="O329:O331" ca="1" si="99">IF(L329&gt;0,N329*100/L329,0)</f>
        <v>71.534849261982103</v>
      </c>
      <c r="P329" s="151">
        <f t="shared" ref="P329:P331" ca="1" si="100">IF(M329&gt;0,N329*100/M329,0)</f>
        <v>96.644748999076072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701880</v>
      </c>
      <c r="M331" s="157">
        <f t="shared" ca="1" si="102"/>
        <v>519520</v>
      </c>
      <c r="N331" s="157">
        <f t="shared" ca="1" si="102"/>
        <v>502088.8</v>
      </c>
      <c r="O331" s="156">
        <f t="shared" ca="1" si="99"/>
        <v>71.534849261982103</v>
      </c>
      <c r="P331" s="156">
        <f t="shared" ca="1" si="100"/>
        <v>96.644748999076072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701880</v>
      </c>
      <c r="M333" s="168">
        <f ca="1">IFERROR(__xludf.DUMMYFUNCTION("IMPORTRANGE(""https://docs.google.com/spreadsheets/d/1Yj_ptqi66GCucihVvJfMjLAmec39IyEx_6qawtMGysU/edit?usp=sharing"",""สบก!DL71"")"),519520)</f>
        <v>519520</v>
      </c>
      <c r="N333" s="169">
        <f ca="1">IFERROR(__xludf.DUMMYFUNCTION("IMPORTRANGE(""https://docs.google.com/spreadsheets/d/1Yj_ptqi66GCucihVvJfMjLAmec39IyEx_6qawtMGysU/edit?usp=sharing"",""สบก!DM71"")"),502088.8)</f>
        <v>502088.8</v>
      </c>
      <c r="O333" s="169">
        <f ca="1">IF(L333&gt;0,N333*100/L333,0)</f>
        <v>71.534849261982103</v>
      </c>
      <c r="P333" s="169">
        <f ca="1">IF(M333&gt;0,N333*100/M333,0)</f>
        <v>96.644748999076072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IFERROR(__xludf.DUMMYFUNCTION("IMPORTRANGE(""https://docs.google.com/spreadsheets/d/1Yj_ptqi66GCucihVvJfMjLAmec39IyEx_6qawtMGysU/edit?usp=sharing"",""สบก!DI71"")"),208080)</f>
        <v>208080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IFERROR(__xludf.DUMMYFUNCTION("IMPORTRANGE(""https://docs.google.com/spreadsheets/d/1SX6NBoVAgQJ6U1MVXOaj8PK2l7WJ3RER9xtqwdhxkhw/edit?usp=sharing"",""เพชรบุรี!J236"")"),7)</f>
        <v>7</v>
      </c>
      <c r="K341" s="342">
        <f t="shared" ca="1" si="103"/>
        <v>21.212121212121211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IFERROR(__xludf.DUMMYFUNCTION("IMPORTRANGE(""https://docs.google.com/spreadsheets/d/1SX6NBoVAgQJ6U1MVXOaj8PK2l7WJ3RER9xtqwdhxkhw/edit?usp=sharing"",""เพชรบุรี!J237"")"),53.88)</f>
        <v>53.88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IFERROR(__xludf.DUMMYFUNCTION("IMPORTRANGE(""https://docs.google.com/spreadsheets/d/1SX6NBoVAgQJ6U1MVXOaj8PK2l7WJ3RER9xtqwdhxkhw/edit?usp=sharing"",""เพชรบุรี!J240"")"),5)</f>
        <v>5</v>
      </c>
      <c r="K345" s="342">
        <f t="shared" ca="1" si="103"/>
        <v>15.151515151515152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IFERROR(__xludf.DUMMYFUNCTION("IMPORTRANGE(""https://docs.google.com/spreadsheets/d/1SX6NBoVAgQJ6U1MVXOaj8PK2l7WJ3RER9xtqwdhxkhw/edit?usp=sharing"",""เพชรบุรี!J241"")"),35.33)</f>
        <v>35.33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IFERROR(__xludf.DUMMYFUNCTION("IMPORTRANGE(""https://docs.google.com/spreadsheets/d/1SX6NBoVAgQJ6U1MVXOaj8PK2l7WJ3RER9xtqwdhxkhw/edit?usp=sharing"",""เพชรบุรี!L242"")"),850497)</f>
        <v>850497</v>
      </c>
      <c r="M347" s="358"/>
      <c r="N347" s="358">
        <f ca="1">IFERROR(__xludf.DUMMYFUNCTION("IMPORTRANGE(""https://docs.google.com/spreadsheets/d/1SX6NBoVAgQJ6U1MVXOaj8PK2l7WJ3RER9xtqwdhxkhw/edit?usp=sharing"",""เพชรบุรี!M242"")"),441652)</f>
        <v>441652</v>
      </c>
      <c r="O347" s="358">
        <f ca="1">+IF(L347&gt;0,N347*100/L347,0)</f>
        <v>51.928695809626603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IFERROR(__xludf.DUMMYFUNCTION("IMPORTRANGE(""https://docs.google.com/spreadsheets/d/1SX6NBoVAgQJ6U1MVXOaj8PK2l7WJ3RER9xtqwdhxkhw/edit?usp=sharing"",""เพชรบุรี!J275"")"),53.25)</f>
        <v>53.25</v>
      </c>
      <c r="K380" s="372">
        <f t="shared" ref="K380:K381" ca="1" si="108">IF(I380&gt;0,J380*100/I380,0)</f>
        <v>26.625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IFERROR(__xludf.DUMMYFUNCTION("IMPORTRANGE(""https://docs.google.com/spreadsheets/d/1SX6NBoVAgQJ6U1MVXOaj8PK2l7WJ3RER9xtqwdhxkhw/edit?usp=sharing"",""เพชรบุรี!M275"")"),96910)</f>
        <v>96910</v>
      </c>
      <c r="O380" s="373">
        <f ca="1">+IF(L380&gt;0,N380*100/L380,0)</f>
        <v>46.690113702062057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IFERROR(__xludf.DUMMYFUNCTION("IMPORTRANGE(""https://docs.google.com/spreadsheets/d/1SX6NBoVAgQJ6U1MVXOaj8PK2l7WJ3RER9xtqwdhxkhw/edit?usp=sharing"",""เพชรบุรี!M278"")"),96910)</f>
        <v>96910</v>
      </c>
      <c r="O383" s="165">
        <f t="shared" ca="1" si="109"/>
        <v>46.690113702062057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IFERROR(__xludf.DUMMYFUNCTION("IMPORTRANGE(""https://docs.google.com/spreadsheets/d/1SX6NBoVAgQJ6U1MVXOaj8PK2l7WJ3RER9xtqwdhxkhw/edit?usp=sharing"",""เพชรบุรี!M280"")"),96910)</f>
        <v>96910</v>
      </c>
      <c r="O385" s="169">
        <f t="shared" ca="1" si="109"/>
        <v>46.690113702062057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IFERROR(__xludf.DUMMYFUNCTION("IMPORTRANGE(""https://docs.google.com/spreadsheets/d/1SX6NBoVAgQJ6U1MVXOaj8PK2l7WJ3RER9xtqwdhxkhw/edit?usp=sharing"",""เพชรบุรี!M282"")"),30880)</f>
        <v>30880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IFERROR(__xludf.DUMMYFUNCTION("IMPORTRANGE(""https://docs.google.com/spreadsheets/d/1SX6NBoVAgQJ6U1MVXOaj8PK2l7WJ3RER9xtqwdhxkhw/edit?usp=sharing"",""เพชรบุรี!M284"")"),7230)</f>
        <v>7230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IFERROR(__xludf.DUMMYFUNCTION("IMPORTRANGE(""https://docs.google.com/spreadsheets/d/1SX6NBoVAgQJ6U1MVXOaj8PK2l7WJ3RER9xtqwdhxkhw/edit?usp=sharing"",""เพชรบุรี!J292"")"),53.25)</f>
        <v>53.25</v>
      </c>
      <c r="K397" s="163">
        <f t="shared" ca="1" si="110"/>
        <v>26.625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IFERROR(__xludf.DUMMYFUNCTION("IMPORTRANGE(""https://docs.google.com/spreadsheets/d/1SX6NBoVAgQJ6U1MVXOaj8PK2l7WJ3RER9xtqwdhxkhw/edit?usp=sharing"",""เพชรบุรี!J293"")"),22)</f>
        <v>22</v>
      </c>
      <c r="K398" s="163">
        <f t="shared" ca="1" si="110"/>
        <v>110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IFERROR(__xludf.DUMMYFUNCTION("IMPORTRANGE(""https://docs.google.com/spreadsheets/d/1SX6NBoVAgQJ6U1MVXOaj8PK2l7WJ3RER9xtqwdhxkhw/edit?usp=sharing"",""เพชรบุรี!M296"")"),90755)</f>
        <v>90755</v>
      </c>
      <c r="O401" s="373">
        <f ca="1">+IF(L401&gt;0,N401*100/L401,0)</f>
        <v>43.842995169082123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IFERROR(__xludf.DUMMYFUNCTION("IMPORTRANGE(""https://docs.google.com/spreadsheets/d/1SX6NBoVAgQJ6U1MVXOaj8PK2l7WJ3RER9xtqwdhxkhw/edit?usp=sharing"",""เพชรบุรี!M299"")"),90755)</f>
        <v>90755</v>
      </c>
      <c r="O404" s="169">
        <f t="shared" ca="1" si="112"/>
        <v>43.842995169082123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IFERROR(__xludf.DUMMYFUNCTION("IMPORTRANGE(""https://docs.google.com/spreadsheets/d/1SX6NBoVAgQJ6U1MVXOaj8PK2l7WJ3RER9xtqwdhxkhw/edit?usp=sharing"",""เพชรบุรี!M301"")"),90755)</f>
        <v>90755</v>
      </c>
      <c r="O406" s="169">
        <f t="shared" ca="1" si="112"/>
        <v>43.842995169082123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IFERROR(__xludf.DUMMYFUNCTION("IMPORTRANGE(""https://docs.google.com/spreadsheets/d/1SX6NBoVAgQJ6U1MVXOaj8PK2l7WJ3RER9xtqwdhxkhw/edit?usp=sharing"",""เพชรบุรี!M302"")"),90755)</f>
        <v>90755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IFERROR(__xludf.DUMMYFUNCTION("IMPORTRANGE(""https://docs.google.com/spreadsheets/d/1SX6NBoVAgQJ6U1MVXOaj8PK2l7WJ3RER9xtqwdhxkhw/edit?usp=sharing"",""เพชรบุรี!M330"")"),122949)</f>
        <v>122949</v>
      </c>
      <c r="O435" s="412">
        <f t="shared" ref="O435:O439" ca="1" si="114">+IF(L435&gt;0,N435*100/L435,0)</f>
        <v>73.887620192307693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IFERROR(__xludf.DUMMYFUNCTION("IMPORTRANGE(""https://docs.google.com/spreadsheets/d/1SX6NBoVAgQJ6U1MVXOaj8PK2l7WJ3RER9xtqwdhxkhw/edit?usp=sharing"",""เพชรบุรี!M332"")"),122949)</f>
        <v>122949</v>
      </c>
      <c r="O437" s="169">
        <f t="shared" ca="1" si="114"/>
        <v>73.887620192307693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IFERROR(__xludf.DUMMYFUNCTION("IMPORTRANGE(""https://docs.google.com/spreadsheets/d/1SX6NBoVAgQJ6U1MVXOaj8PK2l7WJ3RER9xtqwdhxkhw/edit?usp=sharing"",""เพชรบุรี!M334"")"),122949)</f>
        <v>122949</v>
      </c>
      <c r="O439" s="169">
        <f t="shared" ca="1" si="114"/>
        <v>73.887620192307693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IFERROR(__xludf.DUMMYFUNCTION("IMPORTRANGE(""https://docs.google.com/spreadsheets/d/1SX6NBoVAgQJ6U1MVXOaj8PK2l7WJ3RER9xtqwdhxkhw/edit?usp=sharing"",""เพชรบุรี!M335"")"),122949)</f>
        <v>122949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IFERROR(__xludf.DUMMYFUNCTION("IMPORTRANGE(""https://docs.google.com/spreadsheets/d/1SX6NBoVAgQJ6U1MVXOaj8PK2l7WJ3RER9xtqwdhxkhw/edit?usp=sharing"",""เพชรบุรี!J349"")"),0)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IFERROR(__xludf.DUMMYFUNCTION("IMPORTRANGE(""https://docs.google.com/spreadsheets/d/1SX6NBoVAgQJ6U1MVXOaj8PK2l7WJ3RER9xtqwdhxkhw/edit?usp=sharing"",""เพชรบุรี!J350"")"),2169)</f>
        <v>2169</v>
      </c>
      <c r="K455" s="372">
        <f ca="1">IF(I455&gt;0,J455*100/I455,0)</f>
        <v>91.945739720220431</v>
      </c>
      <c r="L455" s="373">
        <f ca="1">IFERROR(__xludf.DUMMYFUNCTION("IMPORTRANGE(""https://docs.google.com/spreadsheets/d/1SX6NBoVAgQJ6U1MVXOaj8PK2l7WJ3RER9xtqwdhxkhw/edit?usp=sharing"",""เพชรบุรี!L350"")"),108247)</f>
        <v>108247</v>
      </c>
      <c r="M455" s="373"/>
      <c r="N455" s="373">
        <f ca="1">IFERROR(__xludf.DUMMYFUNCTION("IMPORTRANGE(""https://docs.google.com/spreadsheets/d/1SX6NBoVAgQJ6U1MVXOaj8PK2l7WJ3RER9xtqwdhxkhw/edit?usp=sharing"",""เพชรบุรี!M350"")"),34650)</f>
        <v>34650</v>
      </c>
      <c r="O455" s="373">
        <f t="shared" ref="O455:O459" ca="1" si="116">+IF(L455&gt;0,N455*100/L455,0)</f>
        <v>32.010124991916634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IFERROR(__xludf.DUMMYFUNCTION("IMPORTRANGE(""https://docs.google.com/spreadsheets/d/1SX6NBoVAgQJ6U1MVXOaj8PK2l7WJ3RER9xtqwdhxkhw/edit?usp=sharing"",""เพชรบุรี!L352"")"),108247)</f>
        <v>108247</v>
      </c>
      <c r="M457" s="165"/>
      <c r="N457" s="169">
        <f ca="1">IFERROR(__xludf.DUMMYFUNCTION("IMPORTRANGE(""https://docs.google.com/spreadsheets/d/1SX6NBoVAgQJ6U1MVXOaj8PK2l7WJ3RER9xtqwdhxkhw/edit?usp=sharing"",""เพชรบุรี!M352"")"),34650)</f>
        <v>34650</v>
      </c>
      <c r="O457" s="169">
        <f t="shared" ca="1" si="116"/>
        <v>32.010124991916634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IFERROR(__xludf.DUMMYFUNCTION("IMPORTRANGE(""https://docs.google.com/spreadsheets/d/1SX6NBoVAgQJ6U1MVXOaj8PK2l7WJ3RER9xtqwdhxkhw/edit?usp=sharing"",""เพชรบุรี!L354"")"),108247)</f>
        <v>108247</v>
      </c>
      <c r="M459" s="169"/>
      <c r="N459" s="169">
        <f ca="1">IFERROR(__xludf.DUMMYFUNCTION("IMPORTRANGE(""https://docs.google.com/spreadsheets/d/1SX6NBoVAgQJ6U1MVXOaj8PK2l7WJ3RER9xtqwdhxkhw/edit?usp=sharing"",""เพชรบุรี!M354"")"),34650)</f>
        <v>34650</v>
      </c>
      <c r="O459" s="169">
        <f t="shared" ca="1" si="116"/>
        <v>32.010124991916634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IFERROR(__xludf.DUMMYFUNCTION("IMPORTRANGE(""https://docs.google.com/spreadsheets/d/1SX6NBoVAgQJ6U1MVXOaj8PK2l7WJ3RER9xtqwdhxkhw/edit?usp=sharing"",""เพชรบุรี!M358"")"),34650)</f>
        <v>34650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IFERROR(__xludf.DUMMYFUNCTION("IMPORTRANGE(""https://docs.google.com/spreadsheets/d/1SX6NBoVAgQJ6U1MVXOaj8PK2l7WJ3RER9xtqwdhxkhw/edit?usp=sharing"",""เพชรบุรี!I359"")"),2359)</f>
        <v>2359</v>
      </c>
      <c r="J464" s="267">
        <f ca="1">IFERROR(__xludf.DUMMYFUNCTION("IMPORTRANGE(""https://docs.google.com/spreadsheets/d/1SX6NBoVAgQJ6U1MVXOaj8PK2l7WJ3RER9xtqwdhxkhw/edit?usp=sharing"",""เพชรบุรี!J359"")"),2169)</f>
        <v>2169</v>
      </c>
      <c r="K464" s="268">
        <f t="shared" ref="K464:K515" ca="1" si="117">IF(I464&gt;0,J464*100/I464,0)</f>
        <v>91.945739720220431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IFERROR(__xludf.DUMMYFUNCTION("IMPORTRANGE(""https://docs.google.com/spreadsheets/d/1SX6NBoVAgQJ6U1MVXOaj8PK2l7WJ3RER9xtqwdhxkhw/edit?usp=sharing"",""เพชรบุรี!J376"")"),2169)</f>
        <v>2169</v>
      </c>
      <c r="K481" s="202">
        <f t="shared" ca="1" si="117"/>
        <v>91.945739720220431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IFERROR(__xludf.DUMMYFUNCTION("IMPORTRANGE(""https://docs.google.com/spreadsheets/d/1SX6NBoVAgQJ6U1MVXOaj8PK2l7WJ3RER9xtqwdhxkhw/edit?usp=sharing"",""เพชรบุรี!J377"")"),289)</f>
        <v>289</v>
      </c>
      <c r="K482" s="202">
        <f t="shared" ca="1" si="117"/>
        <v>92.926045016077168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IFERROR(__xludf.DUMMYFUNCTION("IMPORTRANGE(""https://docs.google.com/spreadsheets/d/1SX6NBoVAgQJ6U1MVXOaj8PK2l7WJ3RER9xtqwdhxkhw/edit?usp=sharing"",""เพชรบุรี!J378"")"),2148)</f>
        <v>2148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IFERROR(__xludf.DUMMYFUNCTION("IMPORTRANGE(""https://docs.google.com/spreadsheets/d/1SX6NBoVAgQJ6U1MVXOaj8PK2l7WJ3RER9xtqwdhxkhw/edit?usp=sharing"",""เพชรบุรี!J379"")"),285)</f>
        <v>285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IFERROR(__xludf.DUMMYFUNCTION("IMPORTRANGE(""https://docs.google.com/spreadsheets/d/1SX6NBoVAgQJ6U1MVXOaj8PK2l7WJ3RER9xtqwdhxkhw/edit?usp=sharing"",""เพชรบุรี!J392"")"),504)</f>
        <v>504</v>
      </c>
      <c r="K497" s="444">
        <f t="shared" ca="1" si="117"/>
        <v>94.55909943714822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IFERROR(__xludf.DUMMYFUNCTION("IMPORTRANGE(""https://docs.google.com/spreadsheets/d/1SX6NBoVAgQJ6U1MVXOaj8PK2l7WJ3RER9xtqwdhxkhw/edit?usp=sharing"",""เพชรบุรี!J393"")"),504)</f>
        <v>504</v>
      </c>
      <c r="K498" s="202">
        <f t="shared" ca="1" si="117"/>
        <v>94.55909943714822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IFERROR(__xludf.DUMMYFUNCTION("IMPORTRANGE(""https://docs.google.com/spreadsheets/d/1SX6NBoVAgQJ6U1MVXOaj8PK2l7WJ3RER9xtqwdhxkhw/edit?usp=sharing"",""เพชรบุรี!J394"")"),101)</f>
        <v>101</v>
      </c>
      <c r="K499" s="202">
        <f t="shared" ca="1" si="117"/>
        <v>74.264705882352942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IFERROR(__xludf.DUMMYFUNCTION("IMPORTRANGE(""https://docs.google.com/spreadsheets/d/1SX6NBoVAgQJ6U1MVXOaj8PK2l7WJ3RER9xtqwdhxkhw/edit?usp=sharing"",""เพชรบุรี!J409"")"),504)</f>
        <v>504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IFERROR(__xludf.DUMMYFUNCTION("IMPORTRANGE(""https://docs.google.com/spreadsheets/d/1SX6NBoVAgQJ6U1MVXOaj8PK2l7WJ3RER9xtqwdhxkhw/edit?usp=sharing"",""เพชรบุรี!J410"")"),101)</f>
        <v>101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IFERROR(__xludf.DUMMYFUNCTION("IMPORTRANGE(""https://docs.google.com/spreadsheets/d/1SX6NBoVAgQJ6U1MVXOaj8PK2l7WJ3RER9xtqwdhxkhw/edit?usp=sharing"",""เพชรบุรี!I411"")"),0)</f>
        <v>0</v>
      </c>
      <c r="J516" s="267">
        <f ca="1">IFERROR(__xludf.DUMMYFUNCTION("IMPORTRANGE(""https://docs.google.com/spreadsheets/d/1SX6NBoVAgQJ6U1MVXOaj8PK2l7WJ3RER9xtqwdhxkhw/edit?usp=sharing"",""เพชรบุรี!J411"")"),0)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IFERROR(__xludf.DUMMYFUNCTION("IMPORTRANGE(""https://docs.google.com/spreadsheets/d/1SX6NBoVAgQJ6U1MVXOaj8PK2l7WJ3RER9xtqwdhxkhw/edit?usp=sharing"",""เพชรบุรี!I412"")"),0)</f>
        <v>0</v>
      </c>
      <c r="J517" s="284">
        <f ca="1">IFERROR(__xludf.DUMMYFUNCTION("IMPORTRANGE(""https://docs.google.com/spreadsheets/d/1SX6NBoVAgQJ6U1MVXOaj8PK2l7WJ3RER9xtqwdhxkhw/edit?usp=sharing"",""เพชรบุรี!J412"")"),0)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IFERROR(__xludf.DUMMYFUNCTION("IMPORTRANGE(""https://docs.google.com/spreadsheets/d/1SX6NBoVAgQJ6U1MVXOaj8PK2l7WJ3RER9xtqwdhxkhw/edit?usp=sharing"",""เพชรบุรี!I413"")"),0)</f>
        <v>0</v>
      </c>
      <c r="J518" s="284">
        <f ca="1">IFERROR(__xludf.DUMMYFUNCTION("IMPORTRANGE(""https://docs.google.com/spreadsheets/d/1SX6NBoVAgQJ6U1MVXOaj8PK2l7WJ3RER9xtqwdhxkhw/edit?usp=sharing"",""เพชรบุรี!J413"")"),0)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IFERROR(__xludf.DUMMYFUNCTION("IMPORTRANGE(""https://docs.google.com/spreadsheets/d/1SX6NBoVAgQJ6U1MVXOaj8PK2l7WJ3RER9xtqwdhxkhw/edit?usp=sharing"",""เพชรบุรี!I420"")"),0)</f>
        <v>0</v>
      </c>
      <c r="J525" s="284">
        <f ca="1">IFERROR(__xludf.DUMMYFUNCTION("IMPORTRANGE(""https://docs.google.com/spreadsheets/d/1SX6NBoVAgQJ6U1MVXOaj8PK2l7WJ3RER9xtqwdhxkhw/edit?usp=sharing"",""เพชรบุรี!J420"")"),0)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IFERROR(__xludf.DUMMYFUNCTION("IMPORTRANGE(""https://docs.google.com/spreadsheets/d/1SX6NBoVAgQJ6U1MVXOaj8PK2l7WJ3RER9xtqwdhxkhw/edit?usp=sharing"",""เพชรบุรี!I421"")"),0)</f>
        <v>0</v>
      </c>
      <c r="J526" s="284">
        <f ca="1">IFERROR(__xludf.DUMMYFUNCTION("IMPORTRANGE(""https://docs.google.com/spreadsheets/d/1SX6NBoVAgQJ6U1MVXOaj8PK2l7WJ3RER9xtqwdhxkhw/edit?usp=sharing"",""เพชรบุรี!J421"")"),0)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IFERROR(__xludf.DUMMYFUNCTION("IMPORTRANGE(""https://docs.google.com/spreadsheets/d/1SX6NBoVAgQJ6U1MVXOaj8PK2l7WJ3RER9xtqwdhxkhw/edit?usp=sharing"",""เพชรบุรี!M428"")"),18805)</f>
        <v>18805</v>
      </c>
      <c r="O533" s="412">
        <f t="shared" ref="O533:O537" ca="1" si="118">+IF(L533&gt;0,N533*100/L533,0)</f>
        <v>54.761211415259176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IFERROR(__xludf.DUMMYFUNCTION("IMPORTRANGE(""https://docs.google.com/spreadsheets/d/1SX6NBoVAgQJ6U1MVXOaj8PK2l7WJ3RER9xtqwdhxkhw/edit?usp=sharing"",""เพชรบุรี!M430"")"),18805)</f>
        <v>18805</v>
      </c>
      <c r="O535" s="169">
        <f t="shared" ca="1" si="118"/>
        <v>54.761211415259176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IFERROR(__xludf.DUMMYFUNCTION("IMPORTRANGE(""https://docs.google.com/spreadsheets/d/1SX6NBoVAgQJ6U1MVXOaj8PK2l7WJ3RER9xtqwdhxkhw/edit?usp=sharing"",""เพชรบุรี!M432"")"),18805)</f>
        <v>18805</v>
      </c>
      <c r="O537" s="169">
        <f t="shared" ca="1" si="118"/>
        <v>54.761211415259176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IFERROR(__xludf.DUMMYFUNCTION("IMPORTRANGE(""https://docs.google.com/spreadsheets/d/1SX6NBoVAgQJ6U1MVXOaj8PK2l7WJ3RER9xtqwdhxkhw/edit?usp=sharing"",""เพชรบุรี!M433"")"),18805)</f>
        <v>18805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IFERROR(__xludf.DUMMYFUNCTION("IMPORTRANGE(""https://docs.google.com/spreadsheets/d/1SX6NBoVAgQJ6U1MVXOaj8PK2l7WJ3RER9xtqwdhxkhw/edit?usp=sharing"",""เพชรบุรี!J459"")"),415)</f>
        <v>415</v>
      </c>
      <c r="K564" s="372">
        <f ca="1">IF(I564&gt;0,J564*100/I564,0)</f>
        <v>276.66666666666669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IFERROR(__xludf.DUMMYFUNCTION("IMPORTRANGE(""https://docs.google.com/spreadsheets/d/1SX6NBoVAgQJ6U1MVXOaj8PK2l7WJ3RER9xtqwdhxkhw/edit?usp=sharing"",""เพชรบุรี!M459"")"),76633)</f>
        <v>76633</v>
      </c>
      <c r="O564" s="373">
        <f t="shared" ref="O564:O568" ca="1" si="122">+IF(L564&gt;0,N564*100/L564,0)</f>
        <v>62.608660130718953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IFERROR(__xludf.DUMMYFUNCTION("IMPORTRANGE(""https://docs.google.com/spreadsheets/d/1SX6NBoVAgQJ6U1MVXOaj8PK2l7WJ3RER9xtqwdhxkhw/edit?usp=sharing"",""เพชรบุรี!M461"")"),76633)</f>
        <v>76633</v>
      </c>
      <c r="O566" s="169">
        <f t="shared" ca="1" si="122"/>
        <v>62.608660130718953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IFERROR(__xludf.DUMMYFUNCTION("IMPORTRANGE(""https://docs.google.com/spreadsheets/d/1SX6NBoVAgQJ6U1MVXOaj8PK2l7WJ3RER9xtqwdhxkhw/edit?usp=sharing"",""เพชรบุรี!M463"")"),76633)</f>
        <v>76633</v>
      </c>
      <c r="O568" s="169">
        <f t="shared" ca="1" si="122"/>
        <v>62.608660130718953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IFERROR(__xludf.DUMMYFUNCTION("IMPORTRANGE(""https://docs.google.com/spreadsheets/d/1SX6NBoVAgQJ6U1MVXOaj8PK2l7WJ3RER9xtqwdhxkhw/edit?usp=sharing"",""เพชรบุรี!M466"")"),76633)</f>
        <v>76633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IFERROR(__xludf.DUMMYFUNCTION("IMPORTRANGE(""https://docs.google.com/spreadsheets/d/1SX6NBoVAgQJ6U1MVXOaj8PK2l7WJ3RER9xtqwdhxkhw/edit?usp=sharing"",""เพชรบุรี!J468"")"),415)</f>
        <v>415</v>
      </c>
      <c r="K573" s="202">
        <f ca="1">IF(I573&gt;0,J573*100/I573,0)</f>
        <v>276.66666666666669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IFERROR(__xludf.DUMMYFUNCTION("IMPORTRANGE(""https://docs.google.com/spreadsheets/d/1SX6NBoVAgQJ6U1MVXOaj8PK2l7WJ3RER9xtqwdhxkhw/edit?usp=sharing"",""เพชรบุรี!J472"")"),415)</f>
        <v>415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IFERROR(__xludf.DUMMYFUNCTION("IMPORTRANGE(""https://docs.google.com/spreadsheets/d/1SX6NBoVAgQJ6U1MVXOaj8PK2l7WJ3RER9xtqwdhxkhw/edit?usp=sharing"",""เพชรบุรี!I491"")"),0)</f>
        <v>0</v>
      </c>
      <c r="J596" s="241">
        <f ca="1">IFERROR(__xludf.DUMMYFUNCTION("IMPORTRANGE(""https://docs.google.com/spreadsheets/d/1SX6NBoVAgQJ6U1MVXOaj8PK2l7WJ3RER9xtqwdhxkhw/edit?usp=sharing"",""เพชรบุรี!J491"")"),0)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7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20.87912087912088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20.87912087912088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1">
        <f ca="1">IFERROR(__xludf.DUMMYFUNCTION("IMPORTRANGE(""https://docs.google.com/spreadsheets/d/1SX6NBoVAgQJ6U1MVXOaj8PK2l7WJ3RER9xtqwdhxkhw/edit?usp=sharing"",""เพชรบุรี!J523"")"),745312.55)</f>
        <v>745312.55</v>
      </c>
      <c r="K628" s="342">
        <f t="shared" ref="K628:K635" ca="1" si="129">IF(I628&gt;0,J628*100/I628,0)</f>
        <v>64.878646895688235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IFERROR(__xludf.DUMMYFUNCTION("IMPORTRANGE(""https://docs.google.com/spreadsheets/d/1SX6NBoVAgQJ6U1MVXOaj8PK2l7WJ3RER9xtqwdhxkhw/edit?usp=sharing"",""เพชรบุรี!I524"")"),86)</f>
        <v>86</v>
      </c>
      <c r="J629" s="341">
        <f ca="1">IFERROR(__xludf.DUMMYFUNCTION("IMPORTRANGE(""https://docs.google.com/spreadsheets/d/1SX6NBoVAgQJ6U1MVXOaj8PK2l7WJ3RER9xtqwdhxkhw/edit?usp=sharing"",""เพชรบุรี!J524"")"),54)</f>
        <v>54</v>
      </c>
      <c r="K629" s="342">
        <f t="shared" ca="1" si="129"/>
        <v>62.790697674418603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1">
        <f ca="1">IFERROR(__xludf.DUMMYFUNCTION("IMPORTRANGE(""https://docs.google.com/spreadsheets/d/1SX6NBoVAgQJ6U1MVXOaj8PK2l7WJ3RER9xtqwdhxkhw/edit?usp=sharing"",""เพชรบุรี!J525"")"),247362.82)</f>
        <v>247362.82</v>
      </c>
      <c r="K630" s="342">
        <f t="shared" ca="1" si="129"/>
        <v>50.861173730749982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IFERROR(__xludf.DUMMYFUNCTION("IMPORTRANGE(""https://docs.google.com/spreadsheets/d/1SX6NBoVAgQJ6U1MVXOaj8PK2l7WJ3RER9xtqwdhxkhw/edit?usp=sharing"",""เพชรบุรี!I526"")"),21)</f>
        <v>21</v>
      </c>
      <c r="J631" s="341">
        <f ca="1">IFERROR(__xludf.DUMMYFUNCTION("IMPORTRANGE(""https://docs.google.com/spreadsheets/d/1SX6NBoVAgQJ6U1MVXOaj8PK2l7WJ3RER9xtqwdhxkhw/edit?usp=sharing"",""เพชรบุรี!J526"")"),16)</f>
        <v>16</v>
      </c>
      <c r="K631" s="342">
        <f t="shared" ca="1" si="129"/>
        <v>76.19047619047619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IFERROR(__xludf.DUMMYFUNCTION("IMPORTRANGE(""https://docs.google.com/spreadsheets/d/1SX6NBoVAgQJ6U1MVXOaj8PK2l7WJ3RER9xtqwdhxkhw/edit?usp=sharing"",""เพชรบุรี!I527"")"),1118.75)</f>
        <v>1118.75</v>
      </c>
      <c r="J632" s="341">
        <f ca="1">IFERROR(__xludf.DUMMYFUNCTION("IMPORTRANGE(""https://docs.google.com/spreadsheets/d/1SX6NBoVAgQJ6U1MVXOaj8PK2l7WJ3RER9xtqwdhxkhw/edit?usp=sharing"",""เพชรบุรี!J527"")"),258055.72)</f>
        <v>258055.72</v>
      </c>
      <c r="K632" s="342">
        <f t="shared" ca="1" si="129"/>
        <v>23066.433072625699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IFERROR(__xludf.DUMMYFUNCTION("IMPORTRANGE(""https://docs.google.com/spreadsheets/d/1SX6NBoVAgQJ6U1MVXOaj8PK2l7WJ3RER9xtqwdhxkhw/edit?usp=sharing"",""เพชรบุรี!I528"")"),1)</f>
        <v>1</v>
      </c>
      <c r="J633" s="341">
        <f ca="1">IFERROR(__xludf.DUMMYFUNCTION("IMPORTRANGE(""https://docs.google.com/spreadsheets/d/1SX6NBoVAgQJ6U1MVXOaj8PK2l7WJ3RER9xtqwdhxkhw/edit?usp=sharing"",""เพชรบุรี!J528"")"),17)</f>
        <v>17</v>
      </c>
      <c r="K633" s="342">
        <f t="shared" ca="1" si="129"/>
        <v>1700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IFERROR(__xludf.DUMMYFUNCTION("IMPORTRANGE(""https://docs.google.com/spreadsheets/d/1SX6NBoVAgQJ6U1MVXOaj8PK2l7WJ3RER9xtqwdhxkhw/edit?usp=sharing"",""เพชรบุรี!I529"")"),1200000)</f>
        <v>1200000</v>
      </c>
      <c r="J634" s="341">
        <f ca="1">IFERROR(__xludf.DUMMYFUNCTION("IMPORTRANGE(""https://docs.google.com/spreadsheets/d/1SX6NBoVAgQJ6U1MVXOaj8PK2l7WJ3RER9xtqwdhxkhw/edit?usp=sharing"",""เพชรบุรี!J529"")"),695000)</f>
        <v>695000</v>
      </c>
      <c r="K634" s="342">
        <f t="shared" ca="1" si="129"/>
        <v>57.916666666666664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IFERROR(__xludf.DUMMYFUNCTION("IMPORTRANGE(""https://docs.google.com/spreadsheets/d/1SX6NBoVAgQJ6U1MVXOaj8PK2l7WJ3RER9xtqwdhxkhw/edit?usp=sharing"",""เพชรบุรี!I530"")"),27)</f>
        <v>27</v>
      </c>
      <c r="J635" s="504">
        <f ca="1">IFERROR(__xludf.DUMMYFUNCTION("IMPORTRANGE(""https://docs.google.com/spreadsheets/d/1SX6NBoVAgQJ6U1MVXOaj8PK2l7WJ3RER9xtqwdhxkhw/edit?usp=sharing"",""เพชรบุรี!J530"")"),17)</f>
        <v>17</v>
      </c>
      <c r="K635" s="486">
        <f t="shared" ca="1" si="129"/>
        <v>62.962962962962962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34390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34390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34390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IFERROR(__xludf.DUMMYFUNCTION("IMPORTRANGE(""https://docs.google.com/spreadsheets/d/1SX6NBoVAgQJ6U1MVXOaj8PK2l7WJ3RER9xtqwdhxkhw/edit#gid=346597447"",""เพชรบุรี!J541"")"),0)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IFERROR(__xludf.DUMMYFUNCTION("IMPORTRANGE(""https://docs.google.com/spreadsheets/d/1SX6NBoVAgQJ6U1MVXOaj8PK2l7WJ3RER9xtqwdhxkhw/edit#gid=346597447"",""เพชรบุรี!J542"")"),0)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IFERROR(__xludf.DUMMYFUNCTION("IMPORTRANGE(""https://docs.google.com/spreadsheets/d/1SX6NBoVAgQJ6U1MVXOaj8PK2l7WJ3RER9xtqwdhxkhw/edit#gid=346597447"",""เพชรบุรี!I543"")"),0)</f>
        <v>0</v>
      </c>
      <c r="J648" s="536">
        <f ca="1">IFERROR(__xludf.DUMMYFUNCTION("IMPORTRANGE(""https://docs.google.com/spreadsheets/d/1SX6NBoVAgQJ6U1MVXOaj8PK2l7WJ3RER9xtqwdhxkhw/edit#gid=346597447"",""เพชรบุรี!J543"")"),0)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IFERROR(__xludf.DUMMYFUNCTION("IMPORTRANGE(""https://docs.google.com/spreadsheets/d/1SX6NBoVAgQJ6U1MVXOaj8PK2l7WJ3RER9xtqwdhxkhw/edit#gid=346597447"",""เพชรบุรี!L543"")"),0)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IFERROR(__xludf.DUMMYFUNCTION("IMPORTRANGE(""https://docs.google.com/spreadsheets/d/1SX6NBoVAgQJ6U1MVXOaj8PK2l7WJ3RER9xtqwdhxkhw/edit#gid=346597447"",""เพชรบุรี!M543"")"),0)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IFERROR(__xludf.DUMMYFUNCTION("IMPORTRANGE(""https://docs.google.com/spreadsheets/d/1SX6NBoVAgQJ6U1MVXOaj8PK2l7WJ3RER9xtqwdhxkhw/edit#gid=346597447"",""เพชรบุรี!I544"")"),41)</f>
        <v>41</v>
      </c>
      <c r="J649" s="536">
        <f ca="1">IFERROR(__xludf.DUMMYFUNCTION("IMPORTRANGE(""https://docs.google.com/spreadsheets/d/1SX6NBoVAgQJ6U1MVXOaj8PK2l7WJ3RER9xtqwdhxkhw/edit#gid=346597447"",""เพชรบุรี!J544"")"),6)</f>
        <v>6</v>
      </c>
      <c r="K649" s="537">
        <f t="shared" ca="1" si="131"/>
        <v>14.634146341463415</v>
      </c>
      <c r="L649" s="522">
        <f ca="1">IFERROR(__xludf.DUMMYFUNCTION("IMPORTRANGE(""https://docs.google.com/spreadsheets/d/1SX6NBoVAgQJ6U1MVXOaj8PK2l7WJ3RER9xtqwdhxkhw/edit#gid=346597447"",""เพชรบุรี!L544"")"),4920)</f>
        <v>4920</v>
      </c>
      <c r="M649" s="521"/>
      <c r="N649" s="538">
        <f ca="1">IFERROR(__xludf.DUMMYFUNCTION("IMPORTRANGE(""https://docs.google.com/spreadsheets/d/1SX6NBoVAgQJ6U1MVXOaj8PK2l7WJ3RER9xtqwdhxkhw/edit#gid=346597447"",""เพชรบุรี!M544"")"),0)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IFERROR(__xludf.DUMMYFUNCTION("IMPORTRANGE(""https://docs.google.com/spreadsheets/d/1SX6NBoVAgQJ6U1MVXOaj8PK2l7WJ3RER9xtqwdhxkhw/edit#gid=346597447"",""เพชรบุรี!I545"")"),0)</f>
        <v>0</v>
      </c>
      <c r="J650" s="536">
        <f ca="1">IFERROR(__xludf.DUMMYFUNCTION("IMPORTRANGE(""https://docs.google.com/spreadsheets/d/1SX6NBoVAgQJ6U1MVXOaj8PK2l7WJ3RER9xtqwdhxkhw/edit#gid=346597447"",""เพชรบุรี!J545"")"),0)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IFERROR(__xludf.DUMMYFUNCTION("IMPORTRANGE(""https://docs.google.com/spreadsheets/d/1SX6NBoVAgQJ6U1MVXOaj8PK2l7WJ3RER9xtqwdhxkhw/edit#gid=346597447"",""เพชรบุรี!L545"")"),0)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IFERROR(__xludf.DUMMYFUNCTION("IMPORTRANGE(""https://docs.google.com/spreadsheets/d/1SX6NBoVAgQJ6U1MVXOaj8PK2l7WJ3RER9xtqwdhxkhw/edit#gid=346597447"",""เพชรบุรี!M545"")"),0)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IFERROR(__xludf.DUMMYFUNCTION("IMPORTRANGE(""https://docs.google.com/spreadsheets/d/1SX6NBoVAgQJ6U1MVXOaj8PK2l7WJ3RER9xtqwdhxkhw/edit#gid=346597447"",""เพชรบุรี!I546"")"),270)</f>
        <v>270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IFERROR(__xludf.DUMMYFUNCTION("IMPORTRANGE(""https://docs.google.com/spreadsheets/d/1SX6NBoVAgQJ6U1MVXOaj8PK2l7WJ3RER9xtqwdhxkhw/edit#gid=346597447"",""เพชรบุรี!L546"")"),6750)</f>
        <v>6750</v>
      </c>
      <c r="M651" s="521"/>
      <c r="N651" s="538">
        <f ca="1">IFERROR(__xludf.DUMMYFUNCTION("IMPORTRANGE(""https://docs.google.com/spreadsheets/d/1SX6NBoVAgQJ6U1MVXOaj8PK2l7WJ3RER9xtqwdhxkhw/edit#gid=346597447"",""เพชรบุรี!M546"")"),0)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IFERROR(__xludf.DUMMYFUNCTION("IMPORTRANGE(""https://docs.google.com/spreadsheets/d/1SX6NBoVAgQJ6U1MVXOaj8PK2l7WJ3RER9xtqwdhxkhw/edit#gid=346597447"",""เพชรบุรี!J547"")"),0)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IFERROR(__xludf.DUMMYFUNCTION("IMPORTRANGE(""https://docs.google.com/spreadsheets/d/1SX6NBoVAgQJ6U1MVXOaj8PK2l7WJ3RER9xtqwdhxkhw/edit#gid=346597447"",""เพชรบุรี!J548"")"),0)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IFERROR(__xludf.DUMMYFUNCTION("IMPORTRANGE(""https://docs.google.com/spreadsheets/d/1SX6NBoVAgQJ6U1MVXOaj8PK2l7WJ3RER9xtqwdhxkhw/edit#gid=346597447"",""เพชรบุรี!J550"")"),0)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IFERROR(__xludf.DUMMYFUNCTION("IMPORTRANGE(""https://docs.google.com/spreadsheets/d/1SX6NBoVAgQJ6U1MVXOaj8PK2l7WJ3RER9xtqwdhxkhw/edit#gid=346597447"",""เพชรบุรี!J551"")"),0)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IFERROR(__xludf.DUMMYFUNCTION("IMPORTRANGE(""https://docs.google.com/spreadsheets/d/1SX6NBoVAgQJ6U1MVXOaj8PK2l7WJ3RER9xtqwdhxkhw/edit#gid=346597447"",""เพชรบุรี!J552"")"),0)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IFERROR(__xludf.DUMMYFUNCTION("IMPORTRANGE(""https://docs.google.com/spreadsheets/d/1SX6NBoVAgQJ6U1MVXOaj8PK2l7WJ3RER9xtqwdhxkhw/edit#gid=346597447"",""เพชรบุรี!J553"")"),0)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IFERROR(__xludf.DUMMYFUNCTION("IMPORTRANGE(""https://docs.google.com/spreadsheets/d/1SX6NBoVAgQJ6U1MVXOaj8PK2l7WJ3RER9xtqwdhxkhw/edit#gid=346597447"",""เพชรบุรี!J554"")"),0)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IFERROR(__xludf.DUMMYFUNCTION("IMPORTRANGE(""https://docs.google.com/spreadsheets/d/1SX6NBoVAgQJ6U1MVXOaj8PK2l7WJ3RER9xtqwdhxkhw/edit#gid=346597447"",""เพชรบุรี!J555"")"),0)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IFERROR(__xludf.DUMMYFUNCTION("IMPORTRANGE(""https://docs.google.com/spreadsheets/d/1SX6NBoVAgQJ6U1MVXOaj8PK2l7WJ3RER9xtqwdhxkhw/edit#gid=346597447"",""เพชรบุรี!J556"")"),0)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IFERROR(__xludf.DUMMYFUNCTION("IMPORTRANGE(""https://docs.google.com/spreadsheets/d/1SX6NBoVAgQJ6U1MVXOaj8PK2l7WJ3RER9xtqwdhxkhw/edit#gid=346597447"",""เพชรบุรี!L556"")"),0)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IFERROR(__xludf.DUMMYFUNCTION("IMPORTRANGE(""https://docs.google.com/spreadsheets/d/1SX6NBoVAgQJ6U1MVXOaj8PK2l7WJ3RER9xtqwdhxkhw/edit#gid=346597447"",""เพชรบุรี!M556"")"),0)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IFERROR(__xludf.DUMMYFUNCTION("IMPORTRANGE(""https://docs.google.com/spreadsheets/d/1SX6NBoVAgQJ6U1MVXOaj8PK2l7WJ3RER9xtqwdhxkhw/edit#gid=346597447"",""เพชรบุรี!J557"")"),0)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IFERROR(__xludf.DUMMYFUNCTION("IMPORTRANGE(""https://docs.google.com/spreadsheets/d/1SX6NBoVAgQJ6U1MVXOaj8PK2l7WJ3RER9xtqwdhxkhw/edit#gid=346597447"",""เพชรบุรี!I558"")"),0)</f>
        <v>0</v>
      </c>
      <c r="J663" s="536">
        <f ca="1">IFERROR(__xludf.DUMMYFUNCTION("IMPORTRANGE(""https://docs.google.com/spreadsheets/d/1SX6NBoVAgQJ6U1MVXOaj8PK2l7WJ3RER9xtqwdhxkhw/edit#gid=346597447"",""เพชรบุรี!J558"")"),0)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IFERROR(__xludf.DUMMYFUNCTION("IMPORTRANGE(""https://docs.google.com/spreadsheets/d/1SX6NBoVAgQJ6U1MVXOaj8PK2l7WJ3RER9xtqwdhxkhw/edit#gid=346597447"",""เพชรบุรี!I560"")"),8)</f>
        <v>8</v>
      </c>
      <c r="J665" s="536">
        <f ca="1">IFERROR(__xludf.DUMMYFUNCTION("IMPORTRANGE(""https://docs.google.com/spreadsheets/d/1SX6NBoVAgQJ6U1MVXOaj8PK2l7WJ3RER9xtqwdhxkhw/edit#gid=346597447"",""เพชรบุรี!J560"")"),0)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IFERROR(__xludf.DUMMYFUNCTION("IMPORTRANGE(""https://docs.google.com/spreadsheets/d/1SX6NBoVAgQJ6U1MVXOaj8PK2l7WJ3RER9xtqwdhxkhw/edit#gid=346597447"",""เพชรบุรี!L560"")"),960)</f>
        <v>960</v>
      </c>
      <c r="M665" s="521"/>
      <c r="N665" s="538">
        <f ca="1">IFERROR(__xludf.DUMMYFUNCTION("IMPORTRANGE(""https://docs.google.com/spreadsheets/d/1SX6NBoVAgQJ6U1MVXOaj8PK2l7WJ3RER9xtqwdhxkhw/edit#gid=346597447"",""เพชรบุรี!M560"")"),0)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IFERROR(__xludf.DUMMYFUNCTION("IMPORTRANGE(""https://docs.google.com/spreadsheets/d/1SX6NBoVAgQJ6U1MVXOaj8PK2l7WJ3RER9xtqwdhxkhw/edit#gid=346597447"",""เพชรบุรี!J561"")"),0)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IFERROR(__xludf.DUMMYFUNCTION("IMPORTRANGE(""https://docs.google.com/spreadsheets/d/1SX6NBoVAgQJ6U1MVXOaj8PK2l7WJ3RER9xtqwdhxkhw/edit#gid=346597447"",""เพชรบุรี!J562"")"),0)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IFERROR(__xludf.DUMMYFUNCTION("IMPORTRANGE(""https://docs.google.com/spreadsheets/d/1SX6NBoVAgQJ6U1MVXOaj8PK2l7WJ3RER9xtqwdhxkhw/edit#gid=346597447"",""เพชรบุรี!I563"")"),4)</f>
        <v>4</v>
      </c>
      <c r="J668" s="536">
        <f ca="1">IFERROR(__xludf.DUMMYFUNCTION("IMPORTRANGE(""https://docs.google.com/spreadsheets/d/1SX6NBoVAgQJ6U1MVXOaj8PK2l7WJ3RER9xtqwdhxkhw/edit#gid=346597447"",""เพชรบุรี!J563"")"),0)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IFERROR(__xludf.DUMMYFUNCTION("IMPORTRANGE(""https://docs.google.com/spreadsheets/d/1SX6NBoVAgQJ6U1MVXOaj8PK2l7WJ3RER9xtqwdhxkhw/edit#gid=346597447"",""เพชรบุรี!L563"")"),4960)</f>
        <v>4960</v>
      </c>
      <c r="M668" s="521"/>
      <c r="N668" s="538">
        <f ca="1">IFERROR(__xludf.DUMMYFUNCTION("IMPORTRANGE(""https://docs.google.com/spreadsheets/d/1SX6NBoVAgQJ6U1MVXOaj8PK2l7WJ3RER9xtqwdhxkhw/edit#gid=346597447"",""เพชรบุรี!M563"")"),0)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IFERROR(__xludf.DUMMYFUNCTION("IMPORTRANGE(""https://docs.google.com/spreadsheets/d/1SX6NBoVAgQJ6U1MVXOaj8PK2l7WJ3RER9xtqwdhxkhw/edit#gid=346597447"",""เพชรบุรี!J564"")"),0)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IFERROR(__xludf.DUMMYFUNCTION("IMPORTRANGE(""https://docs.google.com/spreadsheets/d/1SX6NBoVAgQJ6U1MVXOaj8PK2l7WJ3RER9xtqwdhxkhw/edit#gid=346597447"",""เพชรบุรี!J565"")"),0)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IFERROR(__xludf.DUMMYFUNCTION("IMPORTRANGE(""https://docs.google.com/spreadsheets/d/1SX6NBoVAgQJ6U1MVXOaj8PK2l7WJ3RER9xtqwdhxkhw/edit#gid=346597447"",""เพชรบุรี!I566"")"),210)</f>
        <v>210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IFERROR(__xludf.DUMMYFUNCTION("IMPORTRANGE(""https://docs.google.com/spreadsheets/d/1SX6NBoVAgQJ6U1MVXOaj8PK2l7WJ3RER9xtqwdhxkhw/edit#gid=346597447"",""เพชรบุรี!L566"")"),16800)</f>
        <v>16800</v>
      </c>
      <c r="M671" s="521"/>
      <c r="N671" s="538">
        <f ca="1">IFERROR(__xludf.DUMMYFUNCTION("IMPORTRANGE(""https://docs.google.com/spreadsheets/d/1SX6NBoVAgQJ6U1MVXOaj8PK2l7WJ3RER9xtqwdhxkhw/edit#gid=346597447"",""เพชรบุรี!M566"")"),0)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IFERROR(__xludf.DUMMYFUNCTION("IMPORTRANGE(""https://docs.google.com/spreadsheets/d/1SX6NBoVAgQJ6U1MVXOaj8PK2l7WJ3RER9xtqwdhxkhw/edit#gid=346597447"",""เพชรบุรี!J567"")"),0)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IFERROR(__xludf.DUMMYFUNCTION("IMPORTRANGE(""https://docs.google.com/spreadsheets/d/1SX6NBoVAgQJ6U1MVXOaj8PK2l7WJ3RER9xtqwdhxkhw/edit#gid=346597447"",""เพชรบุรี!J568"")"),0)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IFERROR(__xludf.DUMMYFUNCTION("IMPORTRANGE(""https://docs.google.com/spreadsheets/d/1SX6NBoVAgQJ6U1MVXOaj8PK2l7WJ3RER9xtqwdhxkhw/edit#gid=346597447"",""เพชรบุรี!J569"")"),0)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IFERROR(__xludf.DUMMYFUNCTION("IMPORTRANGE(""https://docs.google.com/spreadsheets/d/1SX6NBoVAgQJ6U1MVXOaj8PK2l7WJ3RER9xtqwdhxkhw/edit#gid=346597447"",""เพชรบุรี!J570"")"),0)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IFERROR(__xludf.DUMMYFUNCTION("IMPORTRANGE(""https://docs.google.com/spreadsheets/d/1SX6NBoVAgQJ6U1MVXOaj8PK2l7WJ3RER9xtqwdhxkhw/edit#gid=346597447"",""เพชรบุรี!J571"")"),0)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IFERROR(__xludf.DUMMYFUNCTION("IMPORTRANGE(""https://docs.google.com/spreadsheets/d/1SX6NBoVAgQJ6U1MVXOaj8PK2l7WJ3RER9xtqwdhxkhw/edit#gid=346597447"",""เพชรบุรี!J572"")"),0)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G4" sqref="G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3084494</v>
      </c>
      <c r="M8" s="23">
        <f t="shared" ca="1" si="0"/>
        <v>1581571</v>
      </c>
      <c r="N8" s="23">
        <f t="shared" ca="1" si="0"/>
        <v>1678511.22</v>
      </c>
      <c r="O8" s="22">
        <f t="shared" ref="O8:O16" ca="1" si="1">IF(L8&gt;0,N8*100/L8,0)</f>
        <v>54.417717136100769</v>
      </c>
      <c r="P8" s="22">
        <f t="shared" ref="P8:P16" ca="1" si="2">IF(M8&gt;0,N8*100/M8,0)</f>
        <v>106.12936251360198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3084494</v>
      </c>
      <c r="M10" s="30">
        <f t="shared" ca="1" si="4"/>
        <v>1581571</v>
      </c>
      <c r="N10" s="30">
        <f t="shared" ca="1" si="4"/>
        <v>1678511.22</v>
      </c>
      <c r="O10" s="29">
        <f t="shared" ca="1" si="1"/>
        <v>54.417717136100769</v>
      </c>
      <c r="P10" s="29">
        <f t="shared" ca="1" si="2"/>
        <v>106.12936251360198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2937494</v>
      </c>
      <c r="M12" s="38">
        <f t="shared" ca="1" si="6"/>
        <v>1434571</v>
      </c>
      <c r="N12" s="38">
        <f t="shared" ca="1" si="6"/>
        <v>1531511.22</v>
      </c>
      <c r="O12" s="38">
        <f t="shared" ca="1" si="1"/>
        <v>52.136658662111309</v>
      </c>
      <c r="P12" s="38">
        <f t="shared" ca="1" si="2"/>
        <v>106.75743619521097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1730494</v>
      </c>
      <c r="M14" s="38">
        <f t="shared" si="8"/>
        <v>0</v>
      </c>
      <c r="N14" s="38">
        <f t="shared" ca="1" si="8"/>
        <v>421561</v>
      </c>
      <c r="O14" s="38">
        <f t="shared" ca="1" si="1"/>
        <v>24.360731675463768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1581571</v>
      </c>
      <c r="N18" s="23">
        <f t="shared" ca="1" si="11"/>
        <v>1256950.22</v>
      </c>
      <c r="O18" s="22">
        <f t="shared" ref="O18:O20" ca="1" si="12">IF(L18&gt;0,N18*100/L18,0)</f>
        <v>62.972038205551478</v>
      </c>
      <c r="P18" s="22">
        <f t="shared" ref="P18:P26" ca="1" si="13">IF(M18&gt;0,N18*100/M18,0)</f>
        <v>79.474789307593525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1581571</v>
      </c>
      <c r="N20" s="30">
        <f t="shared" ca="1" si="15"/>
        <v>1256950.22</v>
      </c>
      <c r="O20" s="29">
        <f t="shared" ca="1" si="12"/>
        <v>62.972038205551478</v>
      </c>
      <c r="P20" s="29">
        <f t="shared" ca="1" si="13"/>
        <v>79.474789307593525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1434571</v>
      </c>
      <c r="N22" s="38">
        <f t="shared" ca="1" si="18"/>
        <v>1109950.22</v>
      </c>
      <c r="O22" s="38">
        <f t="shared" ca="1" si="17"/>
        <v>60.028296769413402</v>
      </c>
      <c r="P22" s="38">
        <f t="shared" ca="1" si="13"/>
        <v>77.371577983940838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1088449</v>
      </c>
      <c r="M28" s="23">
        <f t="shared" si="23"/>
        <v>0</v>
      </c>
      <c r="N28" s="23">
        <f t="shared" ca="1" si="23"/>
        <v>421561</v>
      </c>
      <c r="O28" s="22">
        <f t="shared" ref="O28:O30" ca="1" si="24">IF(L28&gt;0,N28*100/L28,0)</f>
        <v>38.730432018404173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1088449</v>
      </c>
      <c r="M30" s="30">
        <f t="shared" si="27"/>
        <v>0</v>
      </c>
      <c r="N30" s="30">
        <f t="shared" ca="1" si="27"/>
        <v>421561</v>
      </c>
      <c r="O30" s="29">
        <f t="shared" ca="1" si="24"/>
        <v>38.730432018404173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1088449</v>
      </c>
      <c r="M32" s="38">
        <f t="shared" si="30"/>
        <v>0</v>
      </c>
      <c r="N32" s="38">
        <f t="shared" ca="1" si="30"/>
        <v>421561</v>
      </c>
      <c r="O32" s="38">
        <f t="shared" ca="1" si="29"/>
        <v>38.730432018404173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1088449</v>
      </c>
      <c r="M34" s="38">
        <f t="shared" si="32"/>
        <v>0</v>
      </c>
      <c r="N34" s="38">
        <f t="shared" ca="1" si="32"/>
        <v>421561</v>
      </c>
      <c r="O34" s="38">
        <f t="shared" ca="1" si="29"/>
        <v>38.730432018404173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1581571</v>
      </c>
      <c r="N37" s="54">
        <f t="shared" ca="1" si="33"/>
        <v>1256950.22</v>
      </c>
      <c r="O37" s="55">
        <f t="shared" ca="1" si="29"/>
        <v>62.972038205551478</v>
      </c>
      <c r="P37" s="55">
        <f t="shared" ca="1" si="25"/>
        <v>79.474789307593525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248900</v>
      </c>
      <c r="N41" s="78">
        <f t="shared" ca="1" si="34"/>
        <v>190692.76</v>
      </c>
      <c r="O41" s="77">
        <f t="shared" ref="O41:O43" ca="1" si="35">IF(L41&gt;0,N41*100/L41,0)</f>
        <v>60.768884639898026</v>
      </c>
      <c r="P41" s="77">
        <f t="shared" ref="P41:P43" ca="1" si="36">IF(M41&gt;0,N41*100/M41,0)</f>
        <v>76.614206508638006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248900</v>
      </c>
      <c r="N43" s="78">
        <f t="shared" ca="1" si="38"/>
        <v>190692.76</v>
      </c>
      <c r="O43" s="77">
        <f t="shared" ca="1" si="35"/>
        <v>60.768884639898026</v>
      </c>
      <c r="P43" s="77">
        <f t="shared" ca="1" si="36"/>
        <v>76.614206508638006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IFERROR(__xludf.DUMMYFUNCTION("IMPORTRANGE(""https://docs.google.com/spreadsheets/d/1Yj_ptqi66GCucihVvJfMjLAmec39IyEx_6qawtMGysU/edit?usp=sharing"",""สบก!Q72"")"),248900)</f>
        <v>248900</v>
      </c>
      <c r="N45" s="49">
        <f ca="1">IFERROR(__xludf.DUMMYFUNCTION("IMPORTRANGE(""https://docs.google.com/spreadsheets/d/1Yj_ptqi66GCucihVvJfMjLAmec39IyEx_6qawtMGysU/edit?usp=sharing"",""สบก!R72"")"),190692.76)</f>
        <v>190692.76</v>
      </c>
      <c r="O45" s="38">
        <f ca="1">IF(L45&gt;0,N45*100/L45,0)</f>
        <v>60.768884639898026</v>
      </c>
      <c r="P45" s="38">
        <f ca="1">IF(M45&gt;0,N45*100/M45,0)</f>
        <v>76.614206508638006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216541</v>
      </c>
      <c r="N53" s="121">
        <f t="shared" ca="1" si="39"/>
        <v>214679</v>
      </c>
      <c r="O53" s="120">
        <f t="shared" ref="O53:O55" ca="1" si="40">IF(L53&gt;0,N53*100/L53,0)</f>
        <v>76.671071428571423</v>
      </c>
      <c r="P53" s="120">
        <f t="shared" ref="P53:P55" ca="1" si="41">IF(M53&gt;0,N53*100/M53,0)</f>
        <v>99.140116652273704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216541</v>
      </c>
      <c r="N55" s="121">
        <f t="shared" ca="1" si="43"/>
        <v>214679</v>
      </c>
      <c r="O55" s="120">
        <f t="shared" ca="1" si="40"/>
        <v>76.671071428571423</v>
      </c>
      <c r="P55" s="120">
        <f t="shared" ca="1" si="41"/>
        <v>99.140116652273704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IFERROR(__xludf.DUMMYFUNCTION("IMPORTRANGE(""https://docs.google.com/spreadsheets/d/1Yj_ptqi66GCucihVvJfMjLAmec39IyEx_6qawtMGysU/edit?usp=sharing"",""สบก!Z72"")"),216541)</f>
        <v>216541</v>
      </c>
      <c r="N57" s="49">
        <f ca="1">IFERROR(__xludf.DUMMYFUNCTION("IMPORTRANGE(""https://docs.google.com/spreadsheets/d/1Yj_ptqi66GCucihVvJfMjLAmec39IyEx_6qawtMGysU/edit?usp=sharing"",""สบก!AA72"")"),214679)</f>
        <v>214679</v>
      </c>
      <c r="O57" s="38">
        <f ca="1">IF(L57&gt;0,N57*100/L57,0)</f>
        <v>76.671071428571423</v>
      </c>
      <c r="P57" s="38">
        <f ca="1">IF(M57&gt;0,N57*100/M57,0)</f>
        <v>99.140116652273704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IFERROR(__xludf.DUMMYFUNCTION("IMPORTRANGE(""https://docs.google.com/spreadsheets/d/1Yj_ptqi66GCucihVvJfMjLAmec39IyEx_6qawtMGysU/edit?usp=sharing"",""สบก!AI72"")"),0)</f>
        <v>0</v>
      </c>
      <c r="N70" s="169">
        <f ca="1">IFERROR(__xludf.DUMMYFUNCTION("IMPORTRANGE(""https://docs.google.com/spreadsheets/d/1Yj_ptqi66GCucihVvJfMjLAmec39IyEx_6qawtMGysU/edit?usp=sharing"",""สบก!AJ72"")"),0)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IFERROR(__xludf.DUMMYFUNCTION("IMPORTRANGE(""https://docs.google.com/spreadsheets/d/1SX6NBoVAgQJ6U1MVXOaj8PK2l7WJ3RER9xtqwdhxkhw/edit?usp=sharing"",""ระยอง!J50"")"),0)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287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IFERROR(__xludf.DUMMYFUNCTION("IMPORTRANGE(""https://docs.google.com/spreadsheets/d/1SX6NBoVAgQJ6U1MVXOaj8PK2l7WJ3RER9xtqwdhxkhw/edit?usp=sharing"",""ระยอง!J65"")"),0)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IFERROR(__xludf.DUMMYFUNCTION("IMPORTRANGE(""https://docs.google.com/spreadsheets/d/1SX6NBoVAgQJ6U1MVXOaj8PK2l7WJ3RER9xtqwdhxkhw/edit?usp=sharing"",""ระยอง!I68"")"),20)</f>
        <v>20</v>
      </c>
      <c r="J138" s="267">
        <f ca="1">IFERROR(__xludf.DUMMYFUNCTION("IMPORTRANGE(""https://docs.google.com/spreadsheets/d/1SX6NBoVAgQJ6U1MVXOaj8PK2l7WJ3RER9xtqwdhxkhw/edit?usp=sharing"",""ระยอง!J68"")"),20)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340900</v>
      </c>
      <c r="M140" s="152">
        <f t="shared" ca="1" si="64"/>
        <v>267825</v>
      </c>
      <c r="N140" s="152">
        <f t="shared" ca="1" si="64"/>
        <v>187671.03</v>
      </c>
      <c r="O140" s="151">
        <f t="shared" ref="O140:O142" ca="1" si="65">IF(L140&gt;0,N140*100/L140,0)</f>
        <v>55.051636843649163</v>
      </c>
      <c r="P140" s="151">
        <f t="shared" ref="P140:P142" ca="1" si="66">IF(M140&gt;0,N140*100/M140,0)</f>
        <v>70.072259871184542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340900</v>
      </c>
      <c r="M142" s="157">
        <f t="shared" ca="1" si="68"/>
        <v>267825</v>
      </c>
      <c r="N142" s="157">
        <f t="shared" ca="1" si="68"/>
        <v>187671.03</v>
      </c>
      <c r="O142" s="156">
        <f t="shared" ca="1" si="65"/>
        <v>55.051636843649163</v>
      </c>
      <c r="P142" s="156">
        <f t="shared" ca="1" si="66"/>
        <v>70.072259871184542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340900</v>
      </c>
      <c r="M144" s="168">
        <f ca="1">IFERROR(__xludf.DUMMYFUNCTION("IMPORTRANGE(""https://docs.google.com/spreadsheets/d/1Yj_ptqi66GCucihVvJfMjLAmec39IyEx_6qawtMGysU/edit?usp=sharing"",""สบก!BJ72"")"),267825)</f>
        <v>267825</v>
      </c>
      <c r="N144" s="169">
        <f ca="1">IFERROR(__xludf.DUMMYFUNCTION("IMPORTRANGE(""https://docs.google.com/spreadsheets/d/1Yj_ptqi66GCucihVvJfMjLAmec39IyEx_6qawtMGysU/edit?usp=sharing"",""สบก!BK72"")"),187671.03)</f>
        <v>187671.03</v>
      </c>
      <c r="O144" s="169">
        <f ca="1">IF(L144&gt;0,N144*100/L144,0)</f>
        <v>55.051636843649163</v>
      </c>
      <c r="P144" s="169">
        <f ca="1">IF(M144&gt;0,N144*100/M144,0)</f>
        <v>70.072259871184542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IFERROR(__xludf.DUMMYFUNCTION("IMPORTRANGE(""https://docs.google.com/spreadsheets/d/1Yj_ptqi66GCucihVvJfMjLAmec39IyEx_6qawtMGysU/edit?usp=sharing"",""สบก!BG72"")"),108900)</f>
        <v>108900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IFERROR(__xludf.DUMMYFUNCTION("IMPORTRANGE(""https://docs.google.com/spreadsheets/d/1SX6NBoVAgQJ6U1MVXOaj8PK2l7WJ3RER9xtqwdhxkhw/edit?usp=sharing"",""ระยอง!I74"")"),4)</f>
        <v>4</v>
      </c>
      <c r="J149" s="275">
        <f ca="1">IFERROR(__xludf.DUMMYFUNCTION("IMPORTRANGE(""https://docs.google.com/spreadsheets/d/1SX6NBoVAgQJ6U1MVXOaj8PK2l7WJ3RER9xtqwdhxkhw/edit?usp=sharing"",""ระยอง!J74"")"),2)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IFERROR(__xludf.DUMMYFUNCTION("IMPORTRANGE(""https://docs.google.com/spreadsheets/d/1SX6NBoVAgQJ6U1MVXOaj8PK2l7WJ3RER9xtqwdhxkhw/edit?usp=sharing"",""ระยอง!I89"")"),1)</f>
        <v>1</v>
      </c>
      <c r="J164" s="284">
        <f ca="1">IFERROR(__xludf.DUMMYFUNCTION("IMPORTRANGE(""https://docs.google.com/spreadsheets/d/1SX6NBoVAgQJ6U1MVXOaj8PK2l7WJ3RER9xtqwdhxkhw/edit?usp=sharing"",""ระยอง!J89"")"),1)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IFERROR(__xludf.DUMMYFUNCTION("IMPORTRANGE(""https://docs.google.com/spreadsheets/d/1SX6NBoVAgQJ6U1MVXOaj8PK2l7WJ3RER9xtqwdhxkhw/edit?usp=sharing"",""ระยอง!I101"")"),0)</f>
        <v>0</v>
      </c>
      <c r="J176" s="284">
        <f ca="1">IFERROR(__xludf.DUMMYFUNCTION("IMPORTRANGE(""https://docs.google.com/spreadsheets/d/1SX6NBoVAgQJ6U1MVXOaj8PK2l7WJ3RER9xtqwdhxkhw/edit?usp=sharing"",""ระยอง!J101"")"),0)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IFERROR(__xludf.DUMMYFUNCTION("IMPORTRANGE(""https://docs.google.com/spreadsheets/d/1SX6NBoVAgQJ6U1MVXOaj8PK2l7WJ3RER9xtqwdhxkhw/edit?usp=sharing"",""ระยอง!J113"")"),0)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IFERROR(__xludf.DUMMYFUNCTION("IMPORTRANGE(""https://docs.google.com/spreadsheets/d/1SX6NBoVAgQJ6U1MVXOaj8PK2l7WJ3RER9xtqwdhxkhw/edit?usp=sharing"",""ระยอง!I114"")"),6400)</f>
        <v>6400</v>
      </c>
      <c r="J189" s="284">
        <f ca="1">IFERROR(__xludf.DUMMYFUNCTION("IMPORTRANGE(""https://docs.google.com/spreadsheets/d/1SX6NBoVAgQJ6U1MVXOaj8PK2l7WJ3RER9xtqwdhxkhw/edit?usp=sharing"",""ระยอง!J114"")"),0)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IFERROR(__xludf.DUMMYFUNCTION("IMPORTRANGE(""https://docs.google.com/spreadsheets/d/1SX6NBoVAgQJ6U1MVXOaj8PK2l7WJ3RER9xtqwdhxkhw/edit?usp=sharing"",""ระยอง!J128"")"),0)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IFERROR(__xludf.DUMMYFUNCTION("IMPORTRANGE(""https://docs.google.com/spreadsheets/d/1SX6NBoVAgQJ6U1MVXOaj8PK2l7WJ3RER9xtqwdhxkhw/edit?usp=sharing"",""ระยอง!I129"")"),20)</f>
        <v>20</v>
      </c>
      <c r="J204" s="284">
        <f ca="1">IFERROR(__xludf.DUMMYFUNCTION("IMPORTRANGE(""https://docs.google.com/spreadsheets/d/1SX6NBoVAgQJ6U1MVXOaj8PK2l7WJ3RER9xtqwdhxkhw/edit?usp=sharing"",""ระยอง!J129"")"),20)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IFERROR(__xludf.DUMMYFUNCTION("IMPORTRANGE(""https://docs.google.com/spreadsheets/d/1SX6NBoVAgQJ6U1MVXOaj8PK2l7WJ3RER9xtqwdhxkhw/edit?usp=sharing"",""ระยอง!J143"")"),0)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IFERROR(__xludf.DUMMYFUNCTION("IMPORTRANGE(""https://docs.google.com/spreadsheets/d/1SX6NBoVAgQJ6U1MVXOaj8PK2l7WJ3RER9xtqwdhxkhw/edit?usp=sharing"",""ระยอง!I144"")"),15)</f>
        <v>15</v>
      </c>
      <c r="J219" s="267">
        <f ca="1">IFERROR(__xludf.DUMMYFUNCTION("IMPORTRANGE(""https://docs.google.com/spreadsheets/d/1SX6NBoVAgQJ6U1MVXOaj8PK2l7WJ3RER9xtqwdhxkhw/edit?usp=sharing"",""ระยอง!J144"")"),15)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IFERROR(__xludf.DUMMYFUNCTION("IMPORTRANGE(""https://docs.google.com/spreadsheets/d/1SX6NBoVAgQJ6U1MVXOaj8PK2l7WJ3RER9xtqwdhxkhw/edit?usp=sharing"",""ระยอง!I149"")"),15)</f>
        <v>15</v>
      </c>
      <c r="J229" s="267">
        <f ca="1">IFERROR(__xludf.DUMMYFUNCTION("IMPORTRANGE(""https://docs.google.com/spreadsheets/d/1SX6NBoVAgQJ6U1MVXOaj8PK2l7WJ3RER9xtqwdhxkhw/edit?usp=sharing"",""ระยอง!J149"")"),15)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IFERROR(__xludf.DUMMYFUNCTION("IMPORTRANGE(""https://docs.google.com/spreadsheets/d/1SX6NBoVAgQJ6U1MVXOaj8PK2l7WJ3RER9xtqwdhxkhw/edit?usp=sharing"",""ระยอง!J157"")"),0)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IFERROR(__xludf.DUMMYFUNCTION("IMPORTRANGE(""https://docs.google.com/spreadsheets/d/1SX6NBoVAgQJ6U1MVXOaj8PK2l7WJ3RER9xtqwdhxkhw/edit?usp=sharing"",""ระยอง!I158"")"),0)</f>
        <v>0</v>
      </c>
      <c r="J238" s="267">
        <f ca="1">IFERROR(__xludf.DUMMYFUNCTION("IMPORTRANGE(""https://docs.google.com/spreadsheets/d/1SX6NBoVAgQJ6U1MVXOaj8PK2l7WJ3RER9xtqwdhxkhw/edit?usp=sharing"",""ระยอง!J158"")"),0)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IFERROR(__xludf.DUMMYFUNCTION("IMPORTRANGE(""https://docs.google.com/spreadsheets/d/1SX6NBoVAgQJ6U1MVXOaj8PK2l7WJ3RER9xtqwdhxkhw/edit?usp=sharing"",""ระยอง!J166"")"),0)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IFERROR(__xludf.DUMMYFUNCTION("IMPORTRANGE(""https://docs.google.com/spreadsheets/d/1SX6NBoVAgQJ6U1MVXOaj8PK2l7WJ3RER9xtqwdhxkhw/edit?usp=sharing"",""ระยอง!I169"")"),25)</f>
        <v>25</v>
      </c>
      <c r="J249" s="316">
        <f ca="1">IFERROR(__xludf.DUMMYFUNCTION("IMPORTRANGE(""https://docs.google.com/spreadsheets/d/1SX6NBoVAgQJ6U1MVXOaj8PK2l7WJ3RER9xtqwdhxkhw/edit?usp=sharing"",""ระยอง!J169"")"),25)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118893</v>
      </c>
      <c r="O250" s="151">
        <f t="shared" ref="O250:O252" ca="1" si="78">IF(L250&gt;0,N250*100/L250,0)</f>
        <v>59.745226130653265</v>
      </c>
      <c r="P250" s="151">
        <f t="shared" ref="P250:P252" ca="1" si="79">IF(M250&gt;0,N250*100/M250,0)</f>
        <v>67.171186440677971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118893</v>
      </c>
      <c r="O252" s="156">
        <f t="shared" ca="1" si="78"/>
        <v>59.745226130653265</v>
      </c>
      <c r="P252" s="156">
        <f t="shared" ca="1" si="79"/>
        <v>67.171186440677971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IFERROR(__xludf.DUMMYFUNCTION("IMPORTRANGE(""https://docs.google.com/spreadsheets/d/1Yj_ptqi66GCucihVvJfMjLAmec39IyEx_6qawtMGysU/edit?usp=sharing"",""สบก!CB72"")"),177000)</f>
        <v>177000</v>
      </c>
      <c r="N254" s="169">
        <f ca="1">IFERROR(__xludf.DUMMYFUNCTION("IMPORTRANGE(""https://docs.google.com/spreadsheets/d/1Yj_ptqi66GCucihVvJfMjLAmec39IyEx_6qawtMGysU/edit?usp=sharing"",""สบก!CC72"")"),118893)</f>
        <v>118893</v>
      </c>
      <c r="O254" s="169">
        <f ca="1">IF(L254&gt;0,N254*100/L254,0)</f>
        <v>59.745226130653265</v>
      </c>
      <c r="P254" s="169">
        <f ca="1">IF(M254&gt;0,N254*100/M254,0)</f>
        <v>67.171186440677971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IFERROR(__xludf.DUMMYFUNCTION("IMPORTRANGE(""https://docs.google.com/spreadsheets/d/1SX6NBoVAgQJ6U1MVXOaj8PK2l7WJ3RER9xtqwdhxkhw/edit?usp=sharing"",""ระยอง!J184"")"),0)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IFERROR(__xludf.DUMMYFUNCTION("IMPORTRANGE(""https://docs.google.com/spreadsheets/d/1SX6NBoVAgQJ6U1MVXOaj8PK2l7WJ3RER9xtqwdhxkhw/edit?usp=sharing"",""ระยอง!I185"")"),15)</f>
        <v>15</v>
      </c>
      <c r="J270" s="316">
        <f ca="1">IFERROR(__xludf.DUMMYFUNCTION("IMPORTRANGE(""https://docs.google.com/spreadsheets/d/1SX6NBoVAgQJ6U1MVXOaj8PK2l7WJ3RER9xtqwdhxkhw/edit?usp=sharing"",""ระยอง!J185"")"),15)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29710</v>
      </c>
      <c r="O271" s="151">
        <f t="shared" ref="O271:O273" ca="1" si="84">IF(L271&gt;0,N271*100/L271,0)</f>
        <v>53.822463768115945</v>
      </c>
      <c r="P271" s="151">
        <f t="shared" ref="P271:P273" ca="1" si="85">IF(M271&gt;0,N271*100/M271,0)</f>
        <v>92.124031007751938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29710</v>
      </c>
      <c r="O273" s="156">
        <f t="shared" ca="1" si="84"/>
        <v>53.822463768115945</v>
      </c>
      <c r="P273" s="156">
        <f t="shared" ca="1" si="85"/>
        <v>92.124031007751938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IFERROR(__xludf.DUMMYFUNCTION("IMPORTRANGE(""https://docs.google.com/spreadsheets/d/1Yj_ptqi66GCucihVvJfMjLAmec39IyEx_6qawtMGysU/edit?usp=sharing"",""สบก!CK72"")"),32250)</f>
        <v>32250</v>
      </c>
      <c r="N275" s="169">
        <f ca="1">IFERROR(__xludf.DUMMYFUNCTION("IMPORTRANGE(""https://docs.google.com/spreadsheets/d/1Yj_ptqi66GCucihVvJfMjLAmec39IyEx_6qawtMGysU/edit?usp=sharing"",""สบก!CL72"")"),29710)</f>
        <v>29710</v>
      </c>
      <c r="O275" s="169">
        <f ca="1">IF(L275&gt;0,N275*100/L275,0)</f>
        <v>53.822463768115945</v>
      </c>
      <c r="P275" s="169">
        <f ca="1">IF(M275&gt;0,N275*100/M275,0)</f>
        <v>92.124031007751938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IFERROR(__xludf.DUMMYFUNCTION("IMPORTRANGE(""https://docs.google.com/spreadsheets/d/1SX6NBoVAgQJ6U1MVXOaj8PK2l7WJ3RER9xtqwdhxkhw/edit?usp=sharing"",""ระยอง!I199"")"),0)</f>
        <v>0</v>
      </c>
      <c r="J289" s="316">
        <f ca="1">IFERROR(__xludf.DUMMYFUNCTION("IMPORTRANGE(""https://docs.google.com/spreadsheets/d/1SX6NBoVAgQJ6U1MVXOaj8PK2l7WJ3RER9xtqwdhxkhw/edit?usp=sharing"",""ระยอง!J199"")"),0)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IFERROR(__xludf.DUMMYFUNCTION("IMPORTRANGE(""https://docs.google.com/spreadsheets/d/1SX6NBoVAgQJ6U1MVXOaj8PK2l7WJ3RER9xtqwdhxkhw/edit?usp=sharing"",""ระยอง!J213"")"),0)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IFERROR(__xludf.DUMMYFUNCTION("IMPORTRANGE(""https://docs.google.com/spreadsheets/d/1SX6NBoVAgQJ6U1MVXOaj8PK2l7WJ3RER9xtqwdhxkhw/edit?usp=sharing"",""ระยอง!I214"")"),0)</f>
        <v>0</v>
      </c>
      <c r="J309" s="333">
        <f ca="1">IFERROR(__xludf.DUMMYFUNCTION("IMPORTRANGE(""https://docs.google.com/spreadsheets/d/1SX6NBoVAgQJ6U1MVXOaj8PK2l7WJ3RER9xtqwdhxkhw/edit?usp=sharing"",""ระยอง!J214"")"),0)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IFERROR(__xludf.DUMMYFUNCTION("IMPORTRANGE(""https://docs.google.com/spreadsheets/d/1SX6NBoVAgQJ6U1MVXOaj8PK2l7WJ3RER9xtqwdhxkhw/edit?usp=sharing"",""ระยอง!J226"")"),0)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IFERROR(__xludf.DUMMYFUNCTION("IMPORTRANGE(""https://docs.google.com/spreadsheets/d/1SX6NBoVAgQJ6U1MVXOaj8PK2l7WJ3RER9xtqwdhxkhw/edit?usp=sharing"",""ระยอง!I228"")"),62)</f>
        <v>62</v>
      </c>
      <c r="J328" s="339">
        <f ca="1">IFERROR(__xludf.DUMMYFUNCTION("IMPORTRANGE(""https://docs.google.com/spreadsheets/d/1SX6NBoVAgQJ6U1MVXOaj8PK2l7WJ3RER9xtqwdhxkhw/edit?usp=sharing"",""ระยอง!J228"")"),33)</f>
        <v>33</v>
      </c>
      <c r="K328" s="317">
        <f ca="1">IF(I328&gt;0,J328*100/I328,0)</f>
        <v>53.225806451612904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786020</v>
      </c>
      <c r="M329" s="152">
        <f t="shared" ca="1" si="98"/>
        <v>617930</v>
      </c>
      <c r="N329" s="152">
        <f t="shared" ca="1" si="98"/>
        <v>494179.43</v>
      </c>
      <c r="O329" s="151">
        <f t="shared" ref="O329:O331" ca="1" si="99">IF(L329&gt;0,N329*100/L329,0)</f>
        <v>62.87110124424315</v>
      </c>
      <c r="P329" s="151">
        <f t="shared" ref="P329:P331" ca="1" si="100">IF(M329&gt;0,N329*100/M329,0)</f>
        <v>79.973367533539403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786020</v>
      </c>
      <c r="M331" s="157">
        <f t="shared" ca="1" si="102"/>
        <v>617930</v>
      </c>
      <c r="N331" s="157">
        <f t="shared" ca="1" si="102"/>
        <v>494179.43</v>
      </c>
      <c r="O331" s="156">
        <f t="shared" ca="1" si="99"/>
        <v>62.87110124424315</v>
      </c>
      <c r="P331" s="156">
        <f t="shared" ca="1" si="100"/>
        <v>79.973367533539403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639020</v>
      </c>
      <c r="M333" s="168">
        <f ca="1">IFERROR(__xludf.DUMMYFUNCTION("IMPORTRANGE(""https://docs.google.com/spreadsheets/d/1Yj_ptqi66GCucihVvJfMjLAmec39IyEx_6qawtMGysU/edit?usp=sharing"",""สบก!DL72"")"),470930)</f>
        <v>470930</v>
      </c>
      <c r="N333" s="169">
        <f ca="1">IFERROR(__xludf.DUMMYFUNCTION("IMPORTRANGE(""https://docs.google.com/spreadsheets/d/1Yj_ptqi66GCucihVvJfMjLAmec39IyEx_6qawtMGysU/edit?usp=sharing"",""สบก!DM72"")"),347179.43)</f>
        <v>347179.43</v>
      </c>
      <c r="O333" s="169">
        <f ca="1">IF(L333&gt;0,N333*100/L333,0)</f>
        <v>54.329978717411038</v>
      </c>
      <c r="P333" s="169">
        <f ca="1">IF(M333&gt;0,N333*100/M333,0)</f>
        <v>73.72208820843862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IFERROR(__xludf.DUMMYFUNCTION("IMPORTRANGE(""https://docs.google.com/spreadsheets/d/1Yj_ptqi66GCucihVvJfMjLAmec39IyEx_6qawtMGysU/edit?usp=sharing"",""สบก!DI72"")"),257820)</f>
        <v>257820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IFERROR(__xludf.DUMMYFUNCTION("IMPORTRANGE(""https://docs.google.com/spreadsheets/d/1SX6NBoVAgQJ6U1MVXOaj8PK2l7WJ3RER9xtqwdhxkhw/edit?usp=sharing"",""ระยอง!J234"")"),104)</f>
        <v>104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IFERROR(__xludf.DUMMYFUNCTION("IMPORTRANGE(""https://docs.google.com/spreadsheets/d/1SX6NBoVAgQJ6U1MVXOaj8PK2l7WJ3RER9xtqwdhxkhw/edit?usp=sharing"",""ระยอง!J235"")"),598.31)</f>
        <v>598.30999999999995</v>
      </c>
      <c r="K340" s="342">
        <f t="shared" ca="1" si="103"/>
        <v>77.201290322580633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IFERROR(__xludf.DUMMYFUNCTION("IMPORTRANGE(""https://docs.google.com/spreadsheets/d/1SX6NBoVAgQJ6U1MVXOaj8PK2l7WJ3RER9xtqwdhxkhw/edit?usp=sharing"",""ระยอง!J236"")"),39)</f>
        <v>39</v>
      </c>
      <c r="K341" s="342">
        <f t="shared" ca="1" si="103"/>
        <v>62.903225806451616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IFERROR(__xludf.DUMMYFUNCTION("IMPORTRANGE(""https://docs.google.com/spreadsheets/d/1SX6NBoVAgQJ6U1MVXOaj8PK2l7WJ3RER9xtqwdhxkhw/edit?usp=sharing"",""ระยอง!J237"")"),352.55)</f>
        <v>352.55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IFERROR(__xludf.DUMMYFUNCTION("IMPORTRANGE(""https://docs.google.com/spreadsheets/d/1SX6NBoVAgQJ6U1MVXOaj8PK2l7WJ3RER9xtqwdhxkhw/edit?usp=sharing"",""ระยอง!J240"")"),33)</f>
        <v>33</v>
      </c>
      <c r="K345" s="342">
        <f t="shared" ca="1" si="103"/>
        <v>53.225806451612904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IFERROR(__xludf.DUMMYFUNCTION("IMPORTRANGE(""https://docs.google.com/spreadsheets/d/1SX6NBoVAgQJ6U1MVXOaj8PK2l7WJ3RER9xtqwdhxkhw/edit?usp=sharing"",""ระยอง!J241"")"),289.06)</f>
        <v>289.06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IFERROR(__xludf.DUMMYFUNCTION("IMPORTRANGE(""https://docs.google.com/spreadsheets/d/1SX6NBoVAgQJ6U1MVXOaj8PK2l7WJ3RER9xtqwdhxkhw/edit?usp=sharing"",""ระยอง!L242"")"),1088449)</f>
        <v>1088449</v>
      </c>
      <c r="M347" s="358"/>
      <c r="N347" s="358">
        <f ca="1">IFERROR(__xludf.DUMMYFUNCTION("IMPORTRANGE(""https://docs.google.com/spreadsheets/d/1SX6NBoVAgQJ6U1MVXOaj8PK2l7WJ3RER9xtqwdhxkhw/edit?usp=sharing"",""ระยอง!M242"")"),421561)</f>
        <v>421561</v>
      </c>
      <c r="O347" s="358">
        <f ca="1">+IF(L347&gt;0,N347*100/L347,0)</f>
        <v>38.730432018404173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IFERROR(__xludf.DUMMYFUNCTION("IMPORTRANGE(""https://docs.google.com/spreadsheets/d/1SX6NBoVAgQJ6U1MVXOaj8PK2l7WJ3RER9xtqwdhxkhw/edit?usp=sharing"",""ระยอง!M244"")"),82121)</f>
        <v>82121</v>
      </c>
      <c r="O349" s="373">
        <f ca="1">+IF(L349&gt;0,N349*100/L349,0)</f>
        <v>29.270387795836896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IFERROR(__xludf.DUMMYFUNCTION("IMPORTRANGE(""https://docs.google.com/spreadsheets/d/1SX6NBoVAgQJ6U1MVXOaj8PK2l7WJ3RER9xtqwdhxkhw/edit?usp=sharing"",""ระยอง!M247"")"),82121)</f>
        <v>82121</v>
      </c>
      <c r="O352" s="165">
        <f t="shared" ca="1" si="105"/>
        <v>29.270387795836896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IFERROR(__xludf.DUMMYFUNCTION("IMPORTRANGE(""https://docs.google.com/spreadsheets/d/1SX6NBoVAgQJ6U1MVXOaj8PK2l7WJ3RER9xtqwdhxkhw/edit?usp=sharing"",""ระยอง!M249"")"),82121)</f>
        <v>82121</v>
      </c>
      <c r="O354" s="169">
        <f t="shared" ca="1" si="105"/>
        <v>29.270387795836896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IFERROR(__xludf.DUMMYFUNCTION("IMPORTRANGE(""https://docs.google.com/spreadsheets/d/1SX6NBoVAgQJ6U1MVXOaj8PK2l7WJ3RER9xtqwdhxkhw/edit?usp=sharing"",""ระยอง!M250"")"),33775)</f>
        <v>33775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IFERROR(__xludf.DUMMYFUNCTION("IMPORTRANGE(""https://docs.google.com/spreadsheets/d/1SX6NBoVAgQJ6U1MVXOaj8PK2l7WJ3RER9xtqwdhxkhw/edit?usp=sharing"",""ระยอง!M253"")"),48346)</f>
        <v>48346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IFERROR(__xludf.DUMMYFUNCTION("IMPORTRANGE(""https://docs.google.com/spreadsheets/d/1SX6NBoVAgQJ6U1MVXOaj8PK2l7WJ3RER9xtqwdhxkhw/edit?usp=sharing"",""ระยอง!M275"")"),68610)</f>
        <v>68610</v>
      </c>
      <c r="O380" s="373">
        <f ca="1">+IF(L380&gt;0,N380*100/L380,0)</f>
        <v>33.055502023511274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IFERROR(__xludf.DUMMYFUNCTION("IMPORTRANGE(""https://docs.google.com/spreadsheets/d/1SX6NBoVAgQJ6U1MVXOaj8PK2l7WJ3RER9xtqwdhxkhw/edit?usp=sharing"",""ระยอง!M278"")"),68610)</f>
        <v>68610</v>
      </c>
      <c r="O383" s="165">
        <f t="shared" ca="1" si="109"/>
        <v>33.055502023511274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IFERROR(__xludf.DUMMYFUNCTION("IMPORTRANGE(""https://docs.google.com/spreadsheets/d/1SX6NBoVAgQJ6U1MVXOaj8PK2l7WJ3RER9xtqwdhxkhw/edit?usp=sharing"",""ระยอง!M280"")"),68610)</f>
        <v>68610</v>
      </c>
      <c r="O385" s="169">
        <f t="shared" ca="1" si="109"/>
        <v>33.055502023511274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IFERROR(__xludf.DUMMYFUNCTION("IMPORTRANGE(""https://docs.google.com/spreadsheets/d/1SX6NBoVAgQJ6U1MVXOaj8PK2l7WJ3RER9xtqwdhxkhw/edit?usp=sharing"",""ระยอง!M284"")"),9810)</f>
        <v>9810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IFERROR(__xludf.DUMMYFUNCTION("IMPORTRANGE(""https://docs.google.com/spreadsheets/d/1SX6NBoVAgQJ6U1MVXOaj8PK2l7WJ3RER9xtqwdhxkhw/edit?usp=sharing"",""ระยอง!M296"")"),106220)</f>
        <v>106220</v>
      </c>
      <c r="O401" s="373">
        <f ca="1">+IF(L401&gt;0,N401*100/L401,0)</f>
        <v>68.07228915662651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IFERROR(__xludf.DUMMYFUNCTION("IMPORTRANGE(""https://docs.google.com/spreadsheets/d/1SX6NBoVAgQJ6U1MVXOaj8PK2l7WJ3RER9xtqwdhxkhw/edit?usp=sharing"",""ระยอง!M299"")"),106220)</f>
        <v>106220</v>
      </c>
      <c r="O404" s="169">
        <f t="shared" ca="1" si="112"/>
        <v>68.07228915662651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IFERROR(__xludf.DUMMYFUNCTION("IMPORTRANGE(""https://docs.google.com/spreadsheets/d/1SX6NBoVAgQJ6U1MVXOaj8PK2l7WJ3RER9xtqwdhxkhw/edit?usp=sharing"",""ระยอง!M301"")"),106220)</f>
        <v>106220</v>
      </c>
      <c r="O406" s="169">
        <f t="shared" ca="1" si="112"/>
        <v>68.07228915662651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IFERROR(__xludf.DUMMYFUNCTION("IMPORTRANGE(""https://docs.google.com/spreadsheets/d/1SX6NBoVAgQJ6U1MVXOaj8PK2l7WJ3RER9xtqwdhxkhw/edit?usp=sharing"",""ระยอง!M305"")"),13680)</f>
        <v>13680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IFERROR(__xludf.DUMMYFUNCTION("IMPORTRANGE(""https://docs.google.com/spreadsheets/d/1SX6NBoVAgQJ6U1MVXOaj8PK2l7WJ3RER9xtqwdhxkhw/edit?usp=sharing"",""ระยอง!L350"")"),91719)</f>
        <v>91719</v>
      </c>
      <c r="M455" s="373"/>
      <c r="N455" s="373">
        <f ca="1">IFERROR(__xludf.DUMMYFUNCTION("IMPORTRANGE(""https://docs.google.com/spreadsheets/d/1SX6NBoVAgQJ6U1MVXOaj8PK2l7WJ3RER9xtqwdhxkhw/edit?usp=sharing"",""ระยอง!M350"")"),51928)</f>
        <v>51928</v>
      </c>
      <c r="O455" s="373">
        <f t="shared" ref="O455:O459" ca="1" si="116">+IF(L455&gt;0,N455*100/L455,0)</f>
        <v>56.61640445273062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IFERROR(__xludf.DUMMYFUNCTION("IMPORTRANGE(""https://docs.google.com/spreadsheets/d/1SX6NBoVAgQJ6U1MVXOaj8PK2l7WJ3RER9xtqwdhxkhw/edit?usp=sharing"",""ระยอง!L352"")"),91719)</f>
        <v>91719</v>
      </c>
      <c r="M457" s="165"/>
      <c r="N457" s="169">
        <f ca="1">IFERROR(__xludf.DUMMYFUNCTION("IMPORTRANGE(""https://docs.google.com/spreadsheets/d/1SX6NBoVAgQJ6U1MVXOaj8PK2l7WJ3RER9xtqwdhxkhw/edit?usp=sharing"",""ระยอง!M352"")"),51928)</f>
        <v>51928</v>
      </c>
      <c r="O457" s="169">
        <f t="shared" ca="1" si="116"/>
        <v>56.61640445273062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IFERROR(__xludf.DUMMYFUNCTION("IMPORTRANGE(""https://docs.google.com/spreadsheets/d/1SX6NBoVAgQJ6U1MVXOaj8PK2l7WJ3RER9xtqwdhxkhw/edit?usp=sharing"",""ระยอง!L354"")"),91719)</f>
        <v>91719</v>
      </c>
      <c r="M459" s="169"/>
      <c r="N459" s="169">
        <f ca="1">IFERROR(__xludf.DUMMYFUNCTION("IMPORTRANGE(""https://docs.google.com/spreadsheets/d/1SX6NBoVAgQJ6U1MVXOaj8PK2l7WJ3RER9xtqwdhxkhw/edit?usp=sharing"",""ระยอง!M354"")"),51928)</f>
        <v>51928</v>
      </c>
      <c r="O459" s="169">
        <f t="shared" ca="1" si="116"/>
        <v>56.61640445273062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IFERROR(__xludf.DUMMYFUNCTION("IMPORTRANGE(""https://docs.google.com/spreadsheets/d/1SX6NBoVAgQJ6U1MVXOaj8PK2l7WJ3RER9xtqwdhxkhw/edit?usp=sharing"",""ระยอง!M358"")"),51928)</f>
        <v>51928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IFERROR(__xludf.DUMMYFUNCTION("IMPORTRANGE(""https://docs.google.com/spreadsheets/d/1SX6NBoVAgQJ6U1MVXOaj8PK2l7WJ3RER9xtqwdhxkhw/edit?usp=sharing"",""ระยอง!I359"")"),7395)</f>
        <v>7395</v>
      </c>
      <c r="J464" s="267">
        <f ca="1">IFERROR(__xludf.DUMMYFUNCTION("IMPORTRANGE(""https://docs.google.com/spreadsheets/d/1SX6NBoVAgQJ6U1MVXOaj8PK2l7WJ3RER9xtqwdhxkhw/edit?usp=sharing"",""ระยอง!J359"")"),7396)</f>
        <v>7396</v>
      </c>
      <c r="K464" s="268">
        <f t="shared" ref="K464:K515" ca="1" si="117">IF(I464&gt;0,J464*100/I464,0)</f>
        <v>100.01352265043948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IFERROR(__xludf.DUMMYFUNCTION("IMPORTRANGE(""https://docs.google.com/spreadsheets/d/1SX6NBoVAgQJ6U1MVXOaj8PK2l7WJ3RER9xtqwdhxkhw/edit?usp=sharing"",""ระยอง!I411"")"),0)</f>
        <v>0</v>
      </c>
      <c r="J516" s="267">
        <f ca="1">IFERROR(__xludf.DUMMYFUNCTION("IMPORTRANGE(""https://docs.google.com/spreadsheets/d/1SX6NBoVAgQJ6U1MVXOaj8PK2l7WJ3RER9xtqwdhxkhw/edit?usp=sharing"",""ระยอง!J411"")"),0)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IFERROR(__xludf.DUMMYFUNCTION("IMPORTRANGE(""https://docs.google.com/spreadsheets/d/1SX6NBoVAgQJ6U1MVXOaj8PK2l7WJ3RER9xtqwdhxkhw/edit?usp=sharing"",""ระยอง!I412"")"),0)</f>
        <v>0</v>
      </c>
      <c r="J517" s="284">
        <f ca="1">IFERROR(__xludf.DUMMYFUNCTION("IMPORTRANGE(""https://docs.google.com/spreadsheets/d/1SX6NBoVAgQJ6U1MVXOaj8PK2l7WJ3RER9xtqwdhxkhw/edit?usp=sharing"",""ระยอง!J412"")"),0)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IFERROR(__xludf.DUMMYFUNCTION("IMPORTRANGE(""https://docs.google.com/spreadsheets/d/1SX6NBoVAgQJ6U1MVXOaj8PK2l7WJ3RER9xtqwdhxkhw/edit?usp=sharing"",""ระยอง!I413"")"),0)</f>
        <v>0</v>
      </c>
      <c r="J518" s="284">
        <f ca="1">IFERROR(__xludf.DUMMYFUNCTION("IMPORTRANGE(""https://docs.google.com/spreadsheets/d/1SX6NBoVAgQJ6U1MVXOaj8PK2l7WJ3RER9xtqwdhxkhw/edit?usp=sharing"",""ระยอง!J413"")"),0)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IFERROR(__xludf.DUMMYFUNCTION("IMPORTRANGE(""https://docs.google.com/spreadsheets/d/1SX6NBoVAgQJ6U1MVXOaj8PK2l7WJ3RER9xtqwdhxkhw/edit?usp=sharing"",""ระยอง!J418"")"),561)</f>
        <v>561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IFERROR(__xludf.DUMMYFUNCTION("IMPORTRANGE(""https://docs.google.com/spreadsheets/d/1SX6NBoVAgQJ6U1MVXOaj8PK2l7WJ3RER9xtqwdhxkhw/edit?usp=sharing"",""ระยอง!J419"")"),18)</f>
        <v>18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IFERROR(__xludf.DUMMYFUNCTION("IMPORTRANGE(""https://docs.google.com/spreadsheets/d/1SX6NBoVAgQJ6U1MVXOaj8PK2l7WJ3RER9xtqwdhxkhw/edit?usp=sharing"",""ระยอง!I420"")"),561)</f>
        <v>561</v>
      </c>
      <c r="J525" s="284">
        <f ca="1">IFERROR(__xludf.DUMMYFUNCTION("IMPORTRANGE(""https://docs.google.com/spreadsheets/d/1SX6NBoVAgQJ6U1MVXOaj8PK2l7WJ3RER9xtqwdhxkhw/edit?usp=sharing"",""ระยอง!J420"")"),0)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IFERROR(__xludf.DUMMYFUNCTION("IMPORTRANGE(""https://docs.google.com/spreadsheets/d/1SX6NBoVAgQJ6U1MVXOaj8PK2l7WJ3RER9xtqwdhxkhw/edit?usp=sharing"",""ระยอง!I421"")"),18)</f>
        <v>18</v>
      </c>
      <c r="J526" s="284">
        <f ca="1">IFERROR(__xludf.DUMMYFUNCTION("IMPORTRANGE(""https://docs.google.com/spreadsheets/d/1SX6NBoVAgQJ6U1MVXOaj8PK2l7WJ3RER9xtqwdhxkhw/edit?usp=sharing"",""ระยอง!J421"")"),0)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IFERROR(__xludf.DUMMYFUNCTION("IMPORTRANGE(""https://docs.google.com/spreadsheets/d/1SX6NBoVAgQJ6U1MVXOaj8PK2l7WJ3RER9xtqwdhxkhw/edit?usp=sharing"",""ระยอง!M428"")"),29070)</f>
        <v>29070</v>
      </c>
      <c r="O533" s="412">
        <f t="shared" ref="O533:O537" ca="1" si="118">+IF(L533&gt;0,N533*100/L533,0)</f>
        <v>84.653465346534659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IFERROR(__xludf.DUMMYFUNCTION("IMPORTRANGE(""https://docs.google.com/spreadsheets/d/1SX6NBoVAgQJ6U1MVXOaj8PK2l7WJ3RER9xtqwdhxkhw/edit?usp=sharing"",""ระยอง!M430"")"),29070)</f>
        <v>29070</v>
      </c>
      <c r="O535" s="169">
        <f t="shared" ca="1" si="118"/>
        <v>84.653465346534659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IFERROR(__xludf.DUMMYFUNCTION("IMPORTRANGE(""https://docs.google.com/spreadsheets/d/1SX6NBoVAgQJ6U1MVXOaj8PK2l7WJ3RER9xtqwdhxkhw/edit?usp=sharing"",""ระยอง!M432"")"),29070)</f>
        <v>29070</v>
      </c>
      <c r="O537" s="169">
        <f t="shared" ca="1" si="118"/>
        <v>84.653465346534659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IFERROR(__xludf.DUMMYFUNCTION("IMPORTRANGE(""https://docs.google.com/spreadsheets/d/1SX6NBoVAgQJ6U1MVXOaj8PK2l7WJ3RER9xtqwdhxkhw/edit?usp=sharing"",""ระยอง!M436"")"),7230)</f>
        <v>7230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IFERROR(__xludf.DUMMYFUNCTION("IMPORTRANGE(""https://docs.google.com/spreadsheets/d/1SX6NBoVAgQJ6U1MVXOaj8PK2l7WJ3RER9xtqwdhxkhw/edit?usp=sharing"",""ระยอง!J459"")"),256)</f>
        <v>256</v>
      </c>
      <c r="K564" s="372">
        <f ca="1">IF(I564&gt;0,J564*100/I564,0)</f>
        <v>128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IFERROR(__xludf.DUMMYFUNCTION("IMPORTRANGE(""https://docs.google.com/spreadsheets/d/1SX6NBoVAgQJ6U1MVXOaj8PK2l7WJ3RER9xtqwdhxkhw/edit?usp=sharing"",""ระยอง!M459"")"),34112)</f>
        <v>34112</v>
      </c>
      <c r="O564" s="373">
        <f t="shared" ref="O564:O568" ca="1" si="122">+IF(L564&gt;0,N564*100/L564,0)</f>
        <v>28.257123923127899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IFERROR(__xludf.DUMMYFUNCTION("IMPORTRANGE(""https://docs.google.com/spreadsheets/d/1SX6NBoVAgQJ6U1MVXOaj8PK2l7WJ3RER9xtqwdhxkhw/edit?usp=sharing"",""ระยอง!M461"")"),34112)</f>
        <v>34112</v>
      </c>
      <c r="O566" s="169">
        <f t="shared" ca="1" si="122"/>
        <v>28.257123923127899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IFERROR(__xludf.DUMMYFUNCTION("IMPORTRANGE(""https://docs.google.com/spreadsheets/d/1SX6NBoVAgQJ6U1MVXOaj8PK2l7WJ3RER9xtqwdhxkhw/edit?usp=sharing"",""ระยอง!M463"")"),34112)</f>
        <v>34112</v>
      </c>
      <c r="O568" s="169">
        <f t="shared" ca="1" si="122"/>
        <v>28.257123923127899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IFERROR(__xludf.DUMMYFUNCTION("IMPORTRANGE(""https://docs.google.com/spreadsheets/d/1SX6NBoVAgQJ6U1MVXOaj8PK2l7WJ3RER9xtqwdhxkhw/edit?usp=sharing"",""ระยอง!M467"")"),34112)</f>
        <v>34112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IFERROR(__xludf.DUMMYFUNCTION("IMPORTRANGE(""https://docs.google.com/spreadsheets/d/1SX6NBoVAgQJ6U1MVXOaj8PK2l7WJ3RER9xtqwdhxkhw/edit?usp=sharing"",""ระยอง!J468"")"),256)</f>
        <v>256</v>
      </c>
      <c r="K573" s="202">
        <f ca="1">IF(I573&gt;0,J573*100/I573,0)</f>
        <v>128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IFERROR(__xludf.DUMMYFUNCTION("IMPORTRANGE(""https://docs.google.com/spreadsheets/d/1SX6NBoVAgQJ6U1MVXOaj8PK2l7WJ3RER9xtqwdhxkhw/edit?usp=sharing"",""ระยอง!J471"")"),172)</f>
        <v>172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IFERROR(__xludf.DUMMYFUNCTION("IMPORTRANGE(""https://docs.google.com/spreadsheets/d/1SX6NBoVAgQJ6U1MVXOaj8PK2l7WJ3RER9xtqwdhxkhw/edit?usp=sharing"",""ระยอง!J472"")"),84)</f>
        <v>84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IFERROR(__xludf.DUMMYFUNCTION("IMPORTRANGE(""https://docs.google.com/spreadsheets/d/1SX6NBoVAgQJ6U1MVXOaj8PK2l7WJ3RER9xtqwdhxkhw/edit?usp=sharing"",""ระยอง!L475"")"),92960)</f>
        <v>92960</v>
      </c>
      <c r="M580" s="373"/>
      <c r="N580" s="373">
        <f ca="1">IFERROR(__xludf.DUMMYFUNCTION("IMPORTRANGE(""https://docs.google.com/spreadsheets/d/1SX6NBoVAgQJ6U1MVXOaj8PK2l7WJ3RER9xtqwdhxkhw/edit?usp=sharing"",""ระยอง!M475"")"),0)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IFERROR(__xludf.DUMMYFUNCTION("IMPORTRANGE(""https://docs.google.com/spreadsheets/d/1SX6NBoVAgQJ6U1MVXOaj8PK2l7WJ3RER9xtqwdhxkhw/edit?usp=sharing"",""ระยอง!L477"")"),92960)</f>
        <v>92960</v>
      </c>
      <c r="M582" s="165"/>
      <c r="N582" s="169">
        <f ca="1">IFERROR(__xludf.DUMMYFUNCTION("IMPORTRANGE(""https://docs.google.com/spreadsheets/d/1SX6NBoVAgQJ6U1MVXOaj8PK2l7WJ3RER9xtqwdhxkhw/edit?usp=sharing"",""ระยอง!M477"")"),0)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IFERROR(__xludf.DUMMYFUNCTION("IMPORTRANGE(""https://docs.google.com/spreadsheets/d/1SX6NBoVAgQJ6U1MVXOaj8PK2l7WJ3RER9xtqwdhxkhw/edit?usp=sharing"",""ระยอง!L479"")"),92960)</f>
        <v>92960</v>
      </c>
      <c r="M584" s="169"/>
      <c r="N584" s="169">
        <f ca="1">IFERROR(__xludf.DUMMYFUNCTION("IMPORTRANGE(""https://docs.google.com/spreadsheets/d/1SX6NBoVAgQJ6U1MVXOaj8PK2l7WJ3RER9xtqwdhxkhw/edit?usp=sharing"",""ระยอง!M479"")"),0)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IFERROR(__xludf.DUMMYFUNCTION("IMPORTRANGE(""https://docs.google.com/spreadsheets/d/1SX6NBoVAgQJ6U1MVXOaj8PK2l7WJ3RER9xtqwdhxkhw/edit?usp=sharing"",""ระยอง!I491"")"),0)</f>
        <v>0</v>
      </c>
      <c r="J596" s="241">
        <f ca="1">IFERROR(__xludf.DUMMYFUNCTION("IMPORTRANGE(""https://docs.google.com/spreadsheets/d/1SX6NBoVAgQJ6U1MVXOaj8PK2l7WJ3RER9xtqwdhxkhw/edit?usp=sharing"",""ระยอง!J491"")"),0)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7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IFERROR(__xludf.DUMMYFUNCTION("IMPORTRANGE(""https://docs.google.com/spreadsheets/d/1SX6NBoVAgQJ6U1MVXOaj8PK2l7WJ3RER9xtqwdhxkhw/edit?usp=sharing"",""ระยอง!L494"")"),4550)</f>
        <v>4550</v>
      </c>
      <c r="M599" s="165"/>
      <c r="N599" s="169">
        <f ca="1">IFERROR(__xludf.DUMMYFUNCTION("IMPORTRANGE(""https://docs.google.com/spreadsheets/d/1SX6NBoVAgQJ6U1MVXOaj8PK2l7WJ3RER9xtqwdhxkhw/edit?usp=sharing"",""ระยอง!M494"")"),1300)</f>
        <v>1300</v>
      </c>
      <c r="O599" s="169">
        <f t="shared" ca="1" si="126"/>
        <v>28.571428571428573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IFERROR(__xludf.DUMMYFUNCTION("IMPORTRANGE(""https://docs.google.com/spreadsheets/d/1SX6NBoVAgQJ6U1MVXOaj8PK2l7WJ3RER9xtqwdhxkhw/edit?usp=sharing"",""ระยอง!L496"")"),4550)</f>
        <v>4550</v>
      </c>
      <c r="M601" s="169"/>
      <c r="N601" s="169">
        <f ca="1">IFERROR(__xludf.DUMMYFUNCTION("IMPORTRANGE(""https://docs.google.com/spreadsheets/d/1SX6NBoVAgQJ6U1MVXOaj8PK2l7WJ3RER9xtqwdhxkhw/edit?usp=sharing"",""ระยอง!M496"")"),1300)</f>
        <v>1300</v>
      </c>
      <c r="O601" s="169">
        <f t="shared" ca="1" si="126"/>
        <v>28.571428571428573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IFERROR(__xludf.DUMMYFUNCTION("IMPORTRANGE(""https://docs.google.com/spreadsheets/d/1SX6NBoVAgQJ6U1MVXOaj8PK2l7WJ3RER9xtqwdhxkhw/edit?usp=sharing"",""ระยอง!I523"")"),2198052.65)</f>
        <v>2198052.65</v>
      </c>
      <c r="J628" s="341">
        <f ca="1">IFERROR(__xludf.DUMMYFUNCTION("IMPORTRANGE(""https://docs.google.com/spreadsheets/d/1SX6NBoVAgQJ6U1MVXOaj8PK2l7WJ3RER9xtqwdhxkhw/edit?usp=sharing"",""ระยอง!J523"")"),782464.35)</f>
        <v>782464.35</v>
      </c>
      <c r="K628" s="342">
        <f t="shared" ref="K628:K635" ca="1" si="129">IF(I628&gt;0,J628*100/I628,0)</f>
        <v>35.598071320084166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IFERROR(__xludf.DUMMYFUNCTION("IMPORTRANGE(""https://docs.google.com/spreadsheets/d/1SX6NBoVAgQJ6U1MVXOaj8PK2l7WJ3RER9xtqwdhxkhw/edit?usp=sharing"",""ระยอง!I524"")"),144)</f>
        <v>144</v>
      </c>
      <c r="J629" s="341">
        <f ca="1">IFERROR(__xludf.DUMMYFUNCTION("IMPORTRANGE(""https://docs.google.com/spreadsheets/d/1SX6NBoVAgQJ6U1MVXOaj8PK2l7WJ3RER9xtqwdhxkhw/edit?usp=sharing"",""ระยอง!J524"")"),52)</f>
        <v>52</v>
      </c>
      <c r="K629" s="342">
        <f t="shared" ca="1" si="129"/>
        <v>36.111111111111114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IFERROR(__xludf.DUMMYFUNCTION("IMPORTRANGE(""https://docs.google.com/spreadsheets/d/1SX6NBoVAgQJ6U1MVXOaj8PK2l7WJ3RER9xtqwdhxkhw/edit?usp=sharing"",""ระยอง!I525"")"),1625986.59)</f>
        <v>1625986.59</v>
      </c>
      <c r="J630" s="341">
        <f ca="1">IFERROR(__xludf.DUMMYFUNCTION("IMPORTRANGE(""https://docs.google.com/spreadsheets/d/1SX6NBoVAgQJ6U1MVXOaj8PK2l7WJ3RER9xtqwdhxkhw/edit?usp=sharing"",""ระยอง!J525"")"),197058.9)</f>
        <v>197058.9</v>
      </c>
      <c r="K630" s="342">
        <f t="shared" ca="1" si="129"/>
        <v>12.119343493478626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IFERROR(__xludf.DUMMYFUNCTION("IMPORTRANGE(""https://docs.google.com/spreadsheets/d/1SX6NBoVAgQJ6U1MVXOaj8PK2l7WJ3RER9xtqwdhxkhw/edit?usp=sharing"",""ระยอง!I526"")"),52)</f>
        <v>52</v>
      </c>
      <c r="J631" s="341">
        <f ca="1">IFERROR(__xludf.DUMMYFUNCTION("IMPORTRANGE(""https://docs.google.com/spreadsheets/d/1SX6NBoVAgQJ6U1MVXOaj8PK2l7WJ3RER9xtqwdhxkhw/edit?usp=sharing"",""ระยอง!J526"")"),21)</f>
        <v>21</v>
      </c>
      <c r="K631" s="342">
        <f t="shared" ca="1" si="129"/>
        <v>40.384615384615387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IFERROR(__xludf.DUMMYFUNCTION("IMPORTRANGE(""https://docs.google.com/spreadsheets/d/1SX6NBoVAgQJ6U1MVXOaj8PK2l7WJ3RER9xtqwdhxkhw/edit?usp=sharing"",""ระยอง!I527"")"),0)</f>
        <v>0</v>
      </c>
      <c r="J632" s="341">
        <f ca="1">IFERROR(__xludf.DUMMYFUNCTION("IMPORTRANGE(""https://docs.google.com/spreadsheets/d/1SX6NBoVAgQJ6U1MVXOaj8PK2l7WJ3RER9xtqwdhxkhw/edit?usp=sharing"",""ระยอง!J527"")"),0)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IFERROR(__xludf.DUMMYFUNCTION("IMPORTRANGE(""https://docs.google.com/spreadsheets/d/1SX6NBoVAgQJ6U1MVXOaj8PK2l7WJ3RER9xtqwdhxkhw/edit?usp=sharing"",""ระยอง!I528"")"),0)</f>
        <v>0</v>
      </c>
      <c r="J633" s="341">
        <f ca="1">IFERROR(__xludf.DUMMYFUNCTION("IMPORTRANGE(""https://docs.google.com/spreadsheets/d/1SX6NBoVAgQJ6U1MVXOaj8PK2l7WJ3RER9xtqwdhxkhw/edit?usp=sharing"",""ระยอง!J528"")"),0)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IFERROR(__xludf.DUMMYFUNCTION("IMPORTRANGE(""https://docs.google.com/spreadsheets/d/1SX6NBoVAgQJ6U1MVXOaj8PK2l7WJ3RER9xtqwdhxkhw/edit?usp=sharing"",""ระยอง!I529"")"),2450000)</f>
        <v>2450000</v>
      </c>
      <c r="J634" s="341">
        <f ca="1">IFERROR(__xludf.DUMMYFUNCTION("IMPORTRANGE(""https://docs.google.com/spreadsheets/d/1SX6NBoVAgQJ6U1MVXOaj8PK2l7WJ3RER9xtqwdhxkhw/edit?usp=sharing"",""ระยอง!J529"")"),760000)</f>
        <v>760000</v>
      </c>
      <c r="K634" s="342">
        <f t="shared" ca="1" si="129"/>
        <v>31.020408163265305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IFERROR(__xludf.DUMMYFUNCTION("IMPORTRANGE(""https://docs.google.com/spreadsheets/d/1SX6NBoVAgQJ6U1MVXOaj8PK2l7WJ3RER9xtqwdhxkhw/edit?usp=sharing"",""ระยอง!I530"")"),49)</f>
        <v>49</v>
      </c>
      <c r="J635" s="504">
        <f ca="1">IFERROR(__xludf.DUMMYFUNCTION("IMPORTRANGE(""https://docs.google.com/spreadsheets/d/1SX6NBoVAgQJ6U1MVXOaj8PK2l7WJ3RER9xtqwdhxkhw/edit?usp=sharing"",""ระยอง!J530"")"),18)</f>
        <v>18</v>
      </c>
      <c r="K635" s="486">
        <f t="shared" ca="1" si="129"/>
        <v>36.734693877551024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IFERROR(__xludf.DUMMYFUNCTION("IMPORTRANGE(""https://docs.google.com/spreadsheets/d/1SX6NBoVAgQJ6U1MVXOaj8PK2l7WJ3RER9xtqwdhxkhw/edit#gid=346597447"",""ระยอง!J541"")"),0)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IFERROR(__xludf.DUMMYFUNCTION("IMPORTRANGE(""https://docs.google.com/spreadsheets/d/1SX6NBoVAgQJ6U1MVXOaj8PK2l7WJ3RER9xtqwdhxkhw/edit#gid=346597447"",""ระยอง!J542"")"),0)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IFERROR(__xludf.DUMMYFUNCTION("IMPORTRANGE(""https://docs.google.com/spreadsheets/d/1SX6NBoVAgQJ6U1MVXOaj8PK2l7WJ3RER9xtqwdhxkhw/edit#gid=346597447"",""ระยอง!I543"")"),0)</f>
        <v>0</v>
      </c>
      <c r="J648" s="536">
        <f ca="1">IFERROR(__xludf.DUMMYFUNCTION("IMPORTRANGE(""https://docs.google.com/spreadsheets/d/1SX6NBoVAgQJ6U1MVXOaj8PK2l7WJ3RER9xtqwdhxkhw/edit#gid=346597447"",""ระยอง!J543"")"),0)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IFERROR(__xludf.DUMMYFUNCTION("IMPORTRANGE(""https://docs.google.com/spreadsheets/d/1SX6NBoVAgQJ6U1MVXOaj8PK2l7WJ3RER9xtqwdhxkhw/edit#gid=346597447"",""ระยอง!L543"")"),0)</f>
        <v>0</v>
      </c>
      <c r="M648" s="521"/>
      <c r="N648" s="538">
        <f ca="1">IFERROR(__xludf.DUMMYFUNCTION("IMPORTRANGE(""https://docs.google.com/spreadsheets/d/1SX6NBoVAgQJ6U1MVXOaj8PK2l7WJ3RER9xtqwdhxkhw/edit#gid=346597447"",""ระยอง!M543"")"),0)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IFERROR(__xludf.DUMMYFUNCTION("IMPORTRANGE(""https://docs.google.com/spreadsheets/d/1SX6NBoVAgQJ6U1MVXOaj8PK2l7WJ3RER9xtqwdhxkhw/edit#gid=346597447"",""ระยอง!I544"")"),0)</f>
        <v>0</v>
      </c>
      <c r="J649" s="536">
        <f ca="1">IFERROR(__xludf.DUMMYFUNCTION("IMPORTRANGE(""https://docs.google.com/spreadsheets/d/1SX6NBoVAgQJ6U1MVXOaj8PK2l7WJ3RER9xtqwdhxkhw/edit#gid=346597447"",""ระยอง!J544"")"),0)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IFERROR(__xludf.DUMMYFUNCTION("IMPORTRANGE(""https://docs.google.com/spreadsheets/d/1SX6NBoVAgQJ6U1MVXOaj8PK2l7WJ3RER9xtqwdhxkhw/edit#gid=346597447"",""ระยอง!L544"")"),0)</f>
        <v>0</v>
      </c>
      <c r="M649" s="521"/>
      <c r="N649" s="538">
        <f ca="1">IFERROR(__xludf.DUMMYFUNCTION("IMPORTRANGE(""https://docs.google.com/spreadsheets/d/1SX6NBoVAgQJ6U1MVXOaj8PK2l7WJ3RER9xtqwdhxkhw/edit#gid=346597447"",""ระยอง!M544"")"),0)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IFERROR(__xludf.DUMMYFUNCTION("IMPORTRANGE(""https://docs.google.com/spreadsheets/d/1SX6NBoVAgQJ6U1MVXOaj8PK2l7WJ3RER9xtqwdhxkhw/edit#gid=346597447"",""ระยอง!I545"")"),0)</f>
        <v>0</v>
      </c>
      <c r="J650" s="536">
        <f ca="1">IFERROR(__xludf.DUMMYFUNCTION("IMPORTRANGE(""https://docs.google.com/spreadsheets/d/1SX6NBoVAgQJ6U1MVXOaj8PK2l7WJ3RER9xtqwdhxkhw/edit#gid=346597447"",""ระยอง!J545"")"),0)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IFERROR(__xludf.DUMMYFUNCTION("IMPORTRANGE(""https://docs.google.com/spreadsheets/d/1SX6NBoVAgQJ6U1MVXOaj8PK2l7WJ3RER9xtqwdhxkhw/edit#gid=346597447"",""ระยอง!L545"")"),0)</f>
        <v>0</v>
      </c>
      <c r="M650" s="521"/>
      <c r="N650" s="538">
        <f ca="1">IFERROR(__xludf.DUMMYFUNCTION("IMPORTRANGE(""https://docs.google.com/spreadsheets/d/1SX6NBoVAgQJ6U1MVXOaj8PK2l7WJ3RER9xtqwdhxkhw/edit#gid=346597447"",""ระยอง!M545"")"),0)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IFERROR(__xludf.DUMMYFUNCTION("IMPORTRANGE(""https://docs.google.com/spreadsheets/d/1SX6NBoVAgQJ6U1MVXOaj8PK2l7WJ3RER9xtqwdhxkhw/edit#gid=346597447"",""ระยอง!I546"")"),0)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IFERROR(__xludf.DUMMYFUNCTION("IMPORTRANGE(""https://docs.google.com/spreadsheets/d/1SX6NBoVAgQJ6U1MVXOaj8PK2l7WJ3RER9xtqwdhxkhw/edit#gid=346597447"",""ระยอง!L546"")"),0)</f>
        <v>0</v>
      </c>
      <c r="M651" s="521"/>
      <c r="N651" s="538">
        <f ca="1">IFERROR(__xludf.DUMMYFUNCTION("IMPORTRANGE(""https://docs.google.com/spreadsheets/d/1SX6NBoVAgQJ6U1MVXOaj8PK2l7WJ3RER9xtqwdhxkhw/edit#gid=346597447"",""ระยอง!M546"")"),0)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IFERROR(__xludf.DUMMYFUNCTION("IMPORTRANGE(""https://docs.google.com/spreadsheets/d/1SX6NBoVAgQJ6U1MVXOaj8PK2l7WJ3RER9xtqwdhxkhw/edit#gid=346597447"",""ระยอง!J547"")"),0)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IFERROR(__xludf.DUMMYFUNCTION("IMPORTRANGE(""https://docs.google.com/spreadsheets/d/1SX6NBoVAgQJ6U1MVXOaj8PK2l7WJ3RER9xtqwdhxkhw/edit#gid=346597447"",""ระยอง!J548"")"),0)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IFERROR(__xludf.DUMMYFUNCTION("IMPORTRANGE(""https://docs.google.com/spreadsheets/d/1SX6NBoVAgQJ6U1MVXOaj8PK2l7WJ3RER9xtqwdhxkhw/edit#gid=346597447"",""ระยอง!J550"")"),0)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IFERROR(__xludf.DUMMYFUNCTION("IMPORTRANGE(""https://docs.google.com/spreadsheets/d/1SX6NBoVAgQJ6U1MVXOaj8PK2l7WJ3RER9xtqwdhxkhw/edit#gid=346597447"",""ระยอง!J551"")"),0)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IFERROR(__xludf.DUMMYFUNCTION("IMPORTRANGE(""https://docs.google.com/spreadsheets/d/1SX6NBoVAgQJ6U1MVXOaj8PK2l7WJ3RER9xtqwdhxkhw/edit#gid=346597447"",""ระยอง!J552"")"),0)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IFERROR(__xludf.DUMMYFUNCTION("IMPORTRANGE(""https://docs.google.com/spreadsheets/d/1SX6NBoVAgQJ6U1MVXOaj8PK2l7WJ3RER9xtqwdhxkhw/edit#gid=346597447"",""ระยอง!J553"")"),0)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IFERROR(__xludf.DUMMYFUNCTION("IMPORTRANGE(""https://docs.google.com/spreadsheets/d/1SX6NBoVAgQJ6U1MVXOaj8PK2l7WJ3RER9xtqwdhxkhw/edit#gid=346597447"",""ระยอง!J554"")"),0)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IFERROR(__xludf.DUMMYFUNCTION("IMPORTRANGE(""https://docs.google.com/spreadsheets/d/1SX6NBoVAgQJ6U1MVXOaj8PK2l7WJ3RER9xtqwdhxkhw/edit#gid=346597447"",""ระยอง!J555"")"),0)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IFERROR(__xludf.DUMMYFUNCTION("IMPORTRANGE(""https://docs.google.com/spreadsheets/d/1SX6NBoVAgQJ6U1MVXOaj8PK2l7WJ3RER9xtqwdhxkhw/edit#gid=346597447"",""ระยอง!J556"")"),0)</f>
        <v>0</v>
      </c>
      <c r="K661" s="537"/>
      <c r="L661" s="522">
        <f ca="1">IFERROR(__xludf.DUMMYFUNCTION("IMPORTRANGE(""https://docs.google.com/spreadsheets/d/1SX6NBoVAgQJ6U1MVXOaj8PK2l7WJ3RER9xtqwdhxkhw/edit#gid=346597447"",""ระยอง!L556"")"),0)</f>
        <v>0</v>
      </c>
      <c r="M661" s="521"/>
      <c r="N661" s="538">
        <f ca="1">IFERROR(__xludf.DUMMYFUNCTION("IMPORTRANGE(""https://docs.google.com/spreadsheets/d/1SX6NBoVAgQJ6U1MVXOaj8PK2l7WJ3RER9xtqwdhxkhw/edit#gid=346597447"",""ระยอง!M556"")"),0)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IFERROR(__xludf.DUMMYFUNCTION("IMPORTRANGE(""https://docs.google.com/spreadsheets/d/1SX6NBoVAgQJ6U1MVXOaj8PK2l7WJ3RER9xtqwdhxkhw/edit#gid=346597447"",""ระยอง!J557"")"),0)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IFERROR(__xludf.DUMMYFUNCTION("IMPORTRANGE(""https://docs.google.com/spreadsheets/d/1SX6NBoVAgQJ6U1MVXOaj8PK2l7WJ3RER9xtqwdhxkhw/edit#gid=346597447"",""ระยอง!I558"")"),0)</f>
        <v>0</v>
      </c>
      <c r="J663" s="536">
        <f ca="1">IFERROR(__xludf.DUMMYFUNCTION("IMPORTRANGE(""https://docs.google.com/spreadsheets/d/1SX6NBoVAgQJ6U1MVXOaj8PK2l7WJ3RER9xtqwdhxkhw/edit#gid=346597447"",""ระยอง!J558"")"),0)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IFERROR(__xludf.DUMMYFUNCTION("IMPORTRANGE(""https://docs.google.com/spreadsheets/d/1SX6NBoVAgQJ6U1MVXOaj8PK2l7WJ3RER9xtqwdhxkhw/edit#gid=346597447"",""ระยอง!I560"")"),0)</f>
        <v>0</v>
      </c>
      <c r="J665" s="536">
        <f ca="1">IFERROR(__xludf.DUMMYFUNCTION("IMPORTRANGE(""https://docs.google.com/spreadsheets/d/1SX6NBoVAgQJ6U1MVXOaj8PK2l7WJ3RER9xtqwdhxkhw/edit#gid=346597447"",""ระยอง!J560"")"),0)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IFERROR(__xludf.DUMMYFUNCTION("IMPORTRANGE(""https://docs.google.com/spreadsheets/d/1SX6NBoVAgQJ6U1MVXOaj8PK2l7WJ3RER9xtqwdhxkhw/edit#gid=346597447"",""ระยอง!L560"")"),0)</f>
        <v>0</v>
      </c>
      <c r="M665" s="521"/>
      <c r="N665" s="538">
        <f ca="1">IFERROR(__xludf.DUMMYFUNCTION("IMPORTRANGE(""https://docs.google.com/spreadsheets/d/1SX6NBoVAgQJ6U1MVXOaj8PK2l7WJ3RER9xtqwdhxkhw/edit#gid=346597447"",""ระยอง!M560"")"),0)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IFERROR(__xludf.DUMMYFUNCTION("IMPORTRANGE(""https://docs.google.com/spreadsheets/d/1SX6NBoVAgQJ6U1MVXOaj8PK2l7WJ3RER9xtqwdhxkhw/edit#gid=346597447"",""ระยอง!J561"")"),0)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IFERROR(__xludf.DUMMYFUNCTION("IMPORTRANGE(""https://docs.google.com/spreadsheets/d/1SX6NBoVAgQJ6U1MVXOaj8PK2l7WJ3RER9xtqwdhxkhw/edit#gid=346597447"",""ระยอง!J562"")"),0)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IFERROR(__xludf.DUMMYFUNCTION("IMPORTRANGE(""https://docs.google.com/spreadsheets/d/1SX6NBoVAgQJ6U1MVXOaj8PK2l7WJ3RER9xtqwdhxkhw/edit#gid=346597447"",""ระยอง!I563"")"),0)</f>
        <v>0</v>
      </c>
      <c r="J668" s="536">
        <f ca="1">IFERROR(__xludf.DUMMYFUNCTION("IMPORTRANGE(""https://docs.google.com/spreadsheets/d/1SX6NBoVAgQJ6U1MVXOaj8PK2l7WJ3RER9xtqwdhxkhw/edit#gid=346597447"",""ระยอง!J563"")"),0)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IFERROR(__xludf.DUMMYFUNCTION("IMPORTRANGE(""https://docs.google.com/spreadsheets/d/1SX6NBoVAgQJ6U1MVXOaj8PK2l7WJ3RER9xtqwdhxkhw/edit#gid=346597447"",""ระยอง!L563"")"),0)</f>
        <v>0</v>
      </c>
      <c r="M668" s="521"/>
      <c r="N668" s="538">
        <f ca="1">IFERROR(__xludf.DUMMYFUNCTION("IMPORTRANGE(""https://docs.google.com/spreadsheets/d/1SX6NBoVAgQJ6U1MVXOaj8PK2l7WJ3RER9xtqwdhxkhw/edit#gid=346597447"",""ระยอง!M563"")"),0)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IFERROR(__xludf.DUMMYFUNCTION("IMPORTRANGE(""https://docs.google.com/spreadsheets/d/1SX6NBoVAgQJ6U1MVXOaj8PK2l7WJ3RER9xtqwdhxkhw/edit#gid=346597447"",""ระยอง!J564"")"),0)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IFERROR(__xludf.DUMMYFUNCTION("IMPORTRANGE(""https://docs.google.com/spreadsheets/d/1SX6NBoVAgQJ6U1MVXOaj8PK2l7WJ3RER9xtqwdhxkhw/edit#gid=346597447"",""ระยอง!J565"")"),0)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IFERROR(__xludf.DUMMYFUNCTION("IMPORTRANGE(""https://docs.google.com/spreadsheets/d/1SX6NBoVAgQJ6U1MVXOaj8PK2l7WJ3RER9xtqwdhxkhw/edit#gid=346597447"",""ระยอง!I566"")"),0)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IFERROR(__xludf.DUMMYFUNCTION("IMPORTRANGE(""https://docs.google.com/spreadsheets/d/1SX6NBoVAgQJ6U1MVXOaj8PK2l7WJ3RER9xtqwdhxkhw/edit#gid=346597447"",""ระยอง!L566"")"),0)</f>
        <v>0</v>
      </c>
      <c r="M671" s="521"/>
      <c r="N671" s="538">
        <f ca="1">IFERROR(__xludf.DUMMYFUNCTION("IMPORTRANGE(""https://docs.google.com/spreadsheets/d/1SX6NBoVAgQJ6U1MVXOaj8PK2l7WJ3RER9xtqwdhxkhw/edit#gid=346597447"",""ระยอง!M566"")"),0)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IFERROR(__xludf.DUMMYFUNCTION("IMPORTRANGE(""https://docs.google.com/spreadsheets/d/1SX6NBoVAgQJ6U1MVXOaj8PK2l7WJ3RER9xtqwdhxkhw/edit#gid=346597447"",""ระยอง!J567"")"),0)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IFERROR(__xludf.DUMMYFUNCTION("IMPORTRANGE(""https://docs.google.com/spreadsheets/d/1SX6NBoVAgQJ6U1MVXOaj8PK2l7WJ3RER9xtqwdhxkhw/edit#gid=346597447"",""ระยอง!J568"")"),0)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IFERROR(__xludf.DUMMYFUNCTION("IMPORTRANGE(""https://docs.google.com/spreadsheets/d/1SX6NBoVAgQJ6U1MVXOaj8PK2l7WJ3RER9xtqwdhxkhw/edit#gid=346597447"",""ระยอง!J569"")"),0)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IFERROR(__xludf.DUMMYFUNCTION("IMPORTRANGE(""https://docs.google.com/spreadsheets/d/1SX6NBoVAgQJ6U1MVXOaj8PK2l7WJ3RER9xtqwdhxkhw/edit#gid=346597447"",""ระยอง!J570"")"),0)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IFERROR(__xludf.DUMMYFUNCTION("IMPORTRANGE(""https://docs.google.com/spreadsheets/d/1SX6NBoVAgQJ6U1MVXOaj8PK2l7WJ3RER9xtqwdhxkhw/edit#gid=346597447"",""ระยอง!J571"")"),0)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IFERROR(__xludf.DUMMYFUNCTION("IMPORTRANGE(""https://docs.google.com/spreadsheets/d/1SX6NBoVAgQJ6U1MVXOaj8PK2l7WJ3RER9xtqwdhxkhw/edit#gid=346597447"",""ระยอง!J572"")"),0)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288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3820737</v>
      </c>
      <c r="M8" s="23">
        <f t="shared" ca="1" si="0"/>
        <v>1814520</v>
      </c>
      <c r="N8" s="23">
        <f t="shared" ca="1" si="0"/>
        <v>2042258.5899999999</v>
      </c>
      <c r="O8" s="22">
        <f t="shared" ref="O8:O16" ca="1" si="1">IF(L8&gt;0,N8*100/L8,0)</f>
        <v>53.451954164864006</v>
      </c>
      <c r="P8" s="22">
        <f t="shared" ref="P8:P16" ca="1" si="2">IF(M8&gt;0,N8*100/M8,0)</f>
        <v>112.55089996252453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3820737</v>
      </c>
      <c r="M10" s="30">
        <f t="shared" ca="1" si="4"/>
        <v>1814520</v>
      </c>
      <c r="N10" s="30">
        <f t="shared" ca="1" si="4"/>
        <v>2042258.5899999999</v>
      </c>
      <c r="O10" s="29">
        <f t="shared" ca="1" si="1"/>
        <v>53.451954164864006</v>
      </c>
      <c r="P10" s="29">
        <f t="shared" ca="1" si="2"/>
        <v>112.55089996252453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3601437</v>
      </c>
      <c r="M12" s="38">
        <f t="shared" ca="1" si="6"/>
        <v>1595220</v>
      </c>
      <c r="N12" s="38">
        <f t="shared" ca="1" si="6"/>
        <v>1822958.5899999999</v>
      </c>
      <c r="O12" s="38">
        <f t="shared" ca="1" si="1"/>
        <v>50.617533778877707</v>
      </c>
      <c r="P12" s="38">
        <f t="shared" ca="1" si="2"/>
        <v>114.27631235817003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2274637</v>
      </c>
      <c r="M14" s="38">
        <f t="shared" si="8"/>
        <v>0</v>
      </c>
      <c r="N14" s="38">
        <f t="shared" ca="1" si="8"/>
        <v>616247.75</v>
      </c>
      <c r="O14" s="38">
        <f t="shared" ca="1" si="1"/>
        <v>27.092136019945162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219300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2224205</v>
      </c>
      <c r="M18" s="23">
        <f t="shared" ca="1" si="11"/>
        <v>1814520</v>
      </c>
      <c r="N18" s="23">
        <f t="shared" ca="1" si="11"/>
        <v>1426010.8399999999</v>
      </c>
      <c r="O18" s="22">
        <f t="shared" ref="O18:O20" ca="1" si="12">IF(L18&gt;0,N18*100/L18,0)</f>
        <v>64.113282723489959</v>
      </c>
      <c r="P18" s="22">
        <f t="shared" ref="P18:P26" ca="1" si="13">IF(M18&gt;0,N18*100/M18,0)</f>
        <v>78.588874192623948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2224205</v>
      </c>
      <c r="M20" s="30">
        <f t="shared" ca="1" si="15"/>
        <v>1814520</v>
      </c>
      <c r="N20" s="30">
        <f t="shared" ca="1" si="15"/>
        <v>1426010.8399999999</v>
      </c>
      <c r="O20" s="29">
        <f t="shared" ca="1" si="12"/>
        <v>64.113282723489959</v>
      </c>
      <c r="P20" s="29">
        <f t="shared" ca="1" si="13"/>
        <v>78.588874192623948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2004905</v>
      </c>
      <c r="M22" s="41">
        <f t="shared" ca="1" si="18"/>
        <v>1595220</v>
      </c>
      <c r="N22" s="38">
        <f t="shared" ca="1" si="18"/>
        <v>1206710.8399999999</v>
      </c>
      <c r="O22" s="38">
        <f t="shared" ca="1" si="17"/>
        <v>60.187931098979746</v>
      </c>
      <c r="P22" s="38">
        <f t="shared" ca="1" si="13"/>
        <v>75.645418186833155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678105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219300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1596532</v>
      </c>
      <c r="M28" s="23">
        <f t="shared" si="23"/>
        <v>0</v>
      </c>
      <c r="N28" s="23">
        <f t="shared" ca="1" si="23"/>
        <v>616247.75</v>
      </c>
      <c r="O28" s="22">
        <f t="shared" ref="O28:O30" ca="1" si="24">IF(L28&gt;0,N28*100/L28,0)</f>
        <v>38.599148028351451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1596532</v>
      </c>
      <c r="M30" s="30">
        <f t="shared" si="27"/>
        <v>0</v>
      </c>
      <c r="N30" s="30">
        <f t="shared" ca="1" si="27"/>
        <v>616247.75</v>
      </c>
      <c r="O30" s="29">
        <f t="shared" ca="1" si="24"/>
        <v>38.599148028351451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1596532</v>
      </c>
      <c r="M32" s="38">
        <f t="shared" si="30"/>
        <v>0</v>
      </c>
      <c r="N32" s="38">
        <f t="shared" ca="1" si="30"/>
        <v>616247.75</v>
      </c>
      <c r="O32" s="38">
        <f t="shared" ca="1" si="29"/>
        <v>38.599148028351451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1596532</v>
      </c>
      <c r="M34" s="38">
        <f t="shared" si="32"/>
        <v>0</v>
      </c>
      <c r="N34" s="38">
        <f t="shared" ca="1" si="32"/>
        <v>616247.75</v>
      </c>
      <c r="O34" s="38">
        <f t="shared" ca="1" si="29"/>
        <v>38.599148028351451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2224205</v>
      </c>
      <c r="M37" s="54">
        <f t="shared" ca="1" si="33"/>
        <v>1814520</v>
      </c>
      <c r="N37" s="54">
        <f t="shared" ca="1" si="33"/>
        <v>1426010.8399999999</v>
      </c>
      <c r="O37" s="55">
        <f t="shared" ca="1" si="29"/>
        <v>64.113282723489959</v>
      </c>
      <c r="P37" s="55">
        <f t="shared" ca="1" si="25"/>
        <v>78.588874192623948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327065</v>
      </c>
      <c r="N41" s="78">
        <f t="shared" ca="1" si="34"/>
        <v>240017.67</v>
      </c>
      <c r="O41" s="77">
        <f t="shared" ref="O41:O43" ca="1" si="35">IF(L41&gt;0,N41*100/L41,0)</f>
        <v>72.556732164449812</v>
      </c>
      <c r="P41" s="77">
        <f t="shared" ref="P41:P43" ca="1" si="36">IF(M41&gt;0,N41*100/M41,0)</f>
        <v>73.385311788176665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327065</v>
      </c>
      <c r="N43" s="78">
        <f t="shared" ca="1" si="38"/>
        <v>240017.67</v>
      </c>
      <c r="O43" s="77">
        <f t="shared" ca="1" si="35"/>
        <v>72.556732164449812</v>
      </c>
      <c r="P43" s="77">
        <f t="shared" ca="1" si="36"/>
        <v>73.385311788176665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IFERROR(__xludf.DUMMYFUNCTION("IMPORTRANGE(""https://docs.google.com/spreadsheets/d/1Yj_ptqi66GCucihVvJfMjLAmec39IyEx_6qawtMGysU/edit?usp=sharing"",""สบก!Q73"")"),327065)</f>
        <v>327065</v>
      </c>
      <c r="N45" s="49">
        <f ca="1">IFERROR(__xludf.DUMMYFUNCTION("IMPORTRANGE(""https://docs.google.com/spreadsheets/d/1Yj_ptqi66GCucihVvJfMjLAmec39IyEx_6qawtMGysU/edit?usp=sharing"",""สบก!R73"")"),240017.67)</f>
        <v>240017.67</v>
      </c>
      <c r="O45" s="38">
        <f ca="1">IF(L45&gt;0,N45*100/L45,0)</f>
        <v>72.556732164449812</v>
      </c>
      <c r="P45" s="38">
        <f ca="1">IF(M45&gt;0,N45*100/M45,0)</f>
        <v>73.385311788176665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239180</v>
      </c>
      <c r="N53" s="121">
        <f t="shared" ca="1" si="39"/>
        <v>227380.1</v>
      </c>
      <c r="O53" s="120">
        <f t="shared" ref="O53:O55" ca="1" si="40">IF(L53&gt;0,N53*100/L53,0)</f>
        <v>75.793366666666671</v>
      </c>
      <c r="P53" s="120">
        <f t="shared" ref="P53:P55" ca="1" si="41">IF(M53&gt;0,N53*100/M53,0)</f>
        <v>95.066518939710676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239180</v>
      </c>
      <c r="N55" s="121">
        <f t="shared" ca="1" si="43"/>
        <v>227380.1</v>
      </c>
      <c r="O55" s="120">
        <f t="shared" ca="1" si="40"/>
        <v>75.793366666666671</v>
      </c>
      <c r="P55" s="120">
        <f t="shared" ca="1" si="41"/>
        <v>95.066518939710676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IFERROR(__xludf.DUMMYFUNCTION("IMPORTRANGE(""https://docs.google.com/spreadsheets/d/1Yj_ptqi66GCucihVvJfMjLAmec39IyEx_6qawtMGysU/edit?usp=sharing"",""สบก!Z73"")"),239180)</f>
        <v>239180</v>
      </c>
      <c r="N57" s="49">
        <f ca="1">IFERROR(__xludf.DUMMYFUNCTION("IMPORTRANGE(""https://docs.google.com/spreadsheets/d/1Yj_ptqi66GCucihVvJfMjLAmec39IyEx_6qawtMGysU/edit?usp=sharing"",""สบก!AA73"")"),227380.1)</f>
        <v>227380.1</v>
      </c>
      <c r="O57" s="38">
        <f ca="1">IF(L57&gt;0,N57*100/L57,0)</f>
        <v>75.793366666666671</v>
      </c>
      <c r="P57" s="38">
        <f ca="1">IF(M57&gt;0,N57*100/M57,0)</f>
        <v>95.066518939710676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IFERROR(__xludf.DUMMYFUNCTION("IMPORTRANGE(""https://docs.google.com/spreadsheets/d/1Yj_ptqi66GCucihVvJfMjLAmec39IyEx_6qawtMGysU/edit?usp=sharing"",""สบก!AI73"")"),0)</f>
        <v>0</v>
      </c>
      <c r="N70" s="169">
        <f ca="1">IFERROR(__xludf.DUMMYFUNCTION("IMPORTRANGE(""https://docs.google.com/spreadsheets/d/1Yj_ptqi66GCucihVvJfMjLAmec39IyEx_6qawtMGysU/edit?usp=sharing"",""สบก!AJ73"")"),0)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295895</v>
      </c>
      <c r="N94" s="152">
        <f t="shared" ca="1" si="52"/>
        <v>233286.36</v>
      </c>
      <c r="O94" s="151">
        <f t="shared" ref="O94:O96" ca="1" si="53">IF(L94&gt;0,N94*100/L94,0)</f>
        <v>73.643020392701558</v>
      </c>
      <c r="P94" s="151">
        <f t="shared" ref="P94:P96" ca="1" si="54">IF(M94&gt;0,N94*100/M94,0)</f>
        <v>78.840926680072329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295895</v>
      </c>
      <c r="N96" s="157">
        <f t="shared" ca="1" si="56"/>
        <v>233286.36</v>
      </c>
      <c r="O96" s="156">
        <f t="shared" ca="1" si="53"/>
        <v>73.643020392701558</v>
      </c>
      <c r="P96" s="156">
        <f t="shared" ca="1" si="54"/>
        <v>78.840926680072329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IFERROR(__xludf.DUMMYFUNCTION("IMPORTRANGE(""https://docs.google.com/spreadsheets/d/1Yj_ptqi66GCucihVvJfMjLAmec39IyEx_6qawtMGysU/edit?usp=sharing"",""สบก!AR73"")"),111095)</f>
        <v>111095</v>
      </c>
      <c r="N98" s="169">
        <f ca="1">IFERROR(__xludf.DUMMYFUNCTION("IMPORTRANGE(""https://docs.google.com/spreadsheets/d/1Yj_ptqi66GCucihVvJfMjLAmec39IyEx_6qawtMGysU/edit?usp=sharing"",""สบก!AS73"")"),48486.36)</f>
        <v>48486.36</v>
      </c>
      <c r="O98" s="169">
        <f ca="1">IF(L98&gt;0,N98*100/L98,0)</f>
        <v>36.737657220791029</v>
      </c>
      <c r="P98" s="169">
        <f ca="1">IF(M98&gt;0,N98*100/M98,0)</f>
        <v>43.644052387596204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IFERROR(__xludf.DUMMYFUNCTION("IMPORTRANGE(""https://docs.google.com/spreadsheets/d/1SX6NBoVAgQJ6U1MVXOaj8PK2l7WJ3RER9xtqwdhxkhw/edit?usp=sharing"",""ราชบุรี!J50"")"),0)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289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IFERROR(__xludf.DUMMYFUNCTION("IMPORTRANGE(""https://docs.google.com/spreadsheets/d/1SX6NBoVAgQJ6U1MVXOaj8PK2l7WJ3RER9xtqwdhxkhw/edit?usp=sharing"",""ราชบุรี!J65"")"),0)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IFERROR(__xludf.DUMMYFUNCTION("IMPORTRANGE(""https://docs.google.com/spreadsheets/d/1SX6NBoVAgQJ6U1MVXOaj8PK2l7WJ3RER9xtqwdhxkhw/edit?usp=sharing"",""ราชบุรี!I68"")"),0)</f>
        <v>0</v>
      </c>
      <c r="J138" s="267">
        <f ca="1">IFERROR(__xludf.DUMMYFUNCTION("IMPORTRANGE(""https://docs.google.com/spreadsheets/d/1SX6NBoVAgQJ6U1MVXOaj8PK2l7WJ3RER9xtqwdhxkhw/edit?usp=sharing"",""ราชบุรี!J68"")"),0)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47625</v>
      </c>
      <c r="N140" s="152">
        <f t="shared" ca="1" si="64"/>
        <v>1616.1</v>
      </c>
      <c r="O140" s="151">
        <f t="shared" ref="O140:O142" ca="1" si="65">IF(L140&gt;0,N140*100/L140,0)</f>
        <v>2.7625641025641028</v>
      </c>
      <c r="P140" s="151">
        <f t="shared" ref="P140:P142" ca="1" si="66">IF(M140&gt;0,N140*100/M140,0)</f>
        <v>3.3933858267716537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47625</v>
      </c>
      <c r="N142" s="157">
        <f t="shared" ca="1" si="68"/>
        <v>1616.1</v>
      </c>
      <c r="O142" s="156">
        <f t="shared" ca="1" si="65"/>
        <v>2.7625641025641028</v>
      </c>
      <c r="P142" s="156">
        <f t="shared" ca="1" si="66"/>
        <v>3.3933858267716537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IFERROR(__xludf.DUMMYFUNCTION("IMPORTRANGE(""https://docs.google.com/spreadsheets/d/1Yj_ptqi66GCucihVvJfMjLAmec39IyEx_6qawtMGysU/edit?usp=sharing"",""สบก!BJ73"")"),47625)</f>
        <v>47625</v>
      </c>
      <c r="N144" s="169">
        <f ca="1">IFERROR(__xludf.DUMMYFUNCTION("IMPORTRANGE(""https://docs.google.com/spreadsheets/d/1Yj_ptqi66GCucihVvJfMjLAmec39IyEx_6qawtMGysU/edit?usp=sharing"",""สบก!BK73"")"),1616.1)</f>
        <v>1616.1</v>
      </c>
      <c r="O144" s="169">
        <f ca="1">IF(L144&gt;0,N144*100/L144,0)</f>
        <v>2.7625641025641028</v>
      </c>
      <c r="P144" s="169">
        <f ca="1">IF(M144&gt;0,N144*100/M144,0)</f>
        <v>3.3933858267716537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IFERROR(__xludf.DUMMYFUNCTION("IMPORTRANGE(""https://docs.google.com/spreadsheets/d/1SX6NBoVAgQJ6U1MVXOaj8PK2l7WJ3RER9xtqwdhxkhw/edit?usp=sharing"",""ราชบุรี!I74"")"),4)</f>
        <v>4</v>
      </c>
      <c r="J149" s="275">
        <f ca="1">IFERROR(__xludf.DUMMYFUNCTION("IMPORTRANGE(""https://docs.google.com/spreadsheets/d/1SX6NBoVAgQJ6U1MVXOaj8PK2l7WJ3RER9xtqwdhxkhw/edit?usp=sharing"",""ราชบุรี!J74"")"),3)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IFERROR(__xludf.DUMMYFUNCTION("IMPORTRANGE(""https://docs.google.com/spreadsheets/d/1SX6NBoVAgQJ6U1MVXOaj8PK2l7WJ3RER9xtqwdhxkhw/edit?usp=sharing"",""ราชบุรี!J84"")"),188)</f>
        <v>188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IFERROR(__xludf.DUMMYFUNCTION("IMPORTRANGE(""https://docs.google.com/spreadsheets/d/1SX6NBoVAgQJ6U1MVXOaj8PK2l7WJ3RER9xtqwdhxkhw/edit?usp=sharing"",""ราชบุรี!J85"")"),188)</f>
        <v>188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IFERROR(__xludf.DUMMYFUNCTION("IMPORTRANGE(""https://docs.google.com/spreadsheets/d/1SX6NBoVAgQJ6U1MVXOaj8PK2l7WJ3RER9xtqwdhxkhw/edit?usp=sharing"",""ราชบุรี!I89"")"),3)</f>
        <v>3</v>
      </c>
      <c r="J164" s="284">
        <f ca="1">IFERROR(__xludf.DUMMYFUNCTION("IMPORTRANGE(""https://docs.google.com/spreadsheets/d/1SX6NBoVAgQJ6U1MVXOaj8PK2l7WJ3RER9xtqwdhxkhw/edit?usp=sharing"",""ราชบุรี!J89"")"),0)</f>
        <v>0</v>
      </c>
      <c r="K164" s="285">
        <f ca="1">IF(I164&gt;0,J164*100/I164,0)</f>
        <v>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IFERROR(__xludf.DUMMYFUNCTION("IMPORTRANGE(""https://docs.google.com/spreadsheets/d/1SX6NBoVAgQJ6U1MVXOaj8PK2l7WJ3RER9xtqwdhxkhw/edit?usp=sharing"",""ราชบุรี!J100"")"),0)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IFERROR(__xludf.DUMMYFUNCTION("IMPORTRANGE(""https://docs.google.com/spreadsheets/d/1SX6NBoVAgQJ6U1MVXOaj8PK2l7WJ3RER9xtqwdhxkhw/edit?usp=sharing"",""ราชบุรี!I101"")"),0)</f>
        <v>0</v>
      </c>
      <c r="J176" s="284">
        <f ca="1">IFERROR(__xludf.DUMMYFUNCTION("IMPORTRANGE(""https://docs.google.com/spreadsheets/d/1SX6NBoVAgQJ6U1MVXOaj8PK2l7WJ3RER9xtqwdhxkhw/edit?usp=sharing"",""ราชบุรี!J101"")"),0)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IFERROR(__xludf.DUMMYFUNCTION("IMPORTRANGE(""https://docs.google.com/spreadsheets/d/1SX6NBoVAgQJ6U1MVXOaj8PK2l7WJ3RER9xtqwdhxkhw/edit?usp=sharing"",""ราชบุรี!J113"")"),0)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IFERROR(__xludf.DUMMYFUNCTION("IMPORTRANGE(""https://docs.google.com/spreadsheets/d/1SX6NBoVAgQJ6U1MVXOaj8PK2l7WJ3RER9xtqwdhxkhw/edit?usp=sharing"",""ราชบุรี!I114"")"),20000)</f>
        <v>20000</v>
      </c>
      <c r="J189" s="284">
        <f ca="1">IFERROR(__xludf.DUMMYFUNCTION("IMPORTRANGE(""https://docs.google.com/spreadsheets/d/1SX6NBoVAgQJ6U1MVXOaj8PK2l7WJ3RER9xtqwdhxkhw/edit?usp=sharing"",""ราชบุรี!J114"")"),0)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IFERROR(__xludf.DUMMYFUNCTION("IMPORTRANGE(""https://docs.google.com/spreadsheets/d/1SX6NBoVAgQJ6U1MVXOaj8PK2l7WJ3RER9xtqwdhxkhw/edit?usp=sharing"",""ราชบุรี!J128"")"),0)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IFERROR(__xludf.DUMMYFUNCTION("IMPORTRANGE(""https://docs.google.com/spreadsheets/d/1SX6NBoVAgQJ6U1MVXOaj8PK2l7WJ3RER9xtqwdhxkhw/edit?usp=sharing"",""ราชบุรี!I129"")"),0)</f>
        <v>0</v>
      </c>
      <c r="J204" s="284">
        <f ca="1">IFERROR(__xludf.DUMMYFUNCTION("IMPORTRANGE(""https://docs.google.com/spreadsheets/d/1SX6NBoVAgQJ6U1MVXOaj8PK2l7WJ3RER9xtqwdhxkhw/edit?usp=sharing"",""ราชบุรี!J129"")"),0)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IFERROR(__xludf.DUMMYFUNCTION("IMPORTRANGE(""https://docs.google.com/spreadsheets/d/1SX6NBoVAgQJ6U1MVXOaj8PK2l7WJ3RER9xtqwdhxkhw/edit?usp=sharing"",""ราชบุรี!J143"")"),0)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IFERROR(__xludf.DUMMYFUNCTION("IMPORTRANGE(""https://docs.google.com/spreadsheets/d/1SX6NBoVAgQJ6U1MVXOaj8PK2l7WJ3RER9xtqwdhxkhw/edit?usp=sharing"",""ราชบุรี!I144"")"),15)</f>
        <v>15</v>
      </c>
      <c r="J219" s="267">
        <f ca="1">IFERROR(__xludf.DUMMYFUNCTION("IMPORTRANGE(""https://docs.google.com/spreadsheets/d/1SX6NBoVAgQJ6U1MVXOaj8PK2l7WJ3RER9xtqwdhxkhw/edit?usp=sharing"",""ราชบุรี!J144"")"),15)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IFERROR(__xludf.DUMMYFUNCTION("IMPORTRANGE(""https://docs.google.com/spreadsheets/d/1SX6NBoVAgQJ6U1MVXOaj8PK2l7WJ3RER9xtqwdhxkhw/edit?usp=sharing"",""ราชบุรี!I149"")"),15)</f>
        <v>15</v>
      </c>
      <c r="J229" s="267">
        <f ca="1">IFERROR(__xludf.DUMMYFUNCTION("IMPORTRANGE(""https://docs.google.com/spreadsheets/d/1SX6NBoVAgQJ6U1MVXOaj8PK2l7WJ3RER9xtqwdhxkhw/edit?usp=sharing"",""ราชบุรี!J149"")"),15)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IFERROR(__xludf.DUMMYFUNCTION("IMPORTRANGE(""https://docs.google.com/spreadsheets/d/1SX6NBoVAgQJ6U1MVXOaj8PK2l7WJ3RER9xtqwdhxkhw/edit?usp=sharing"",""ราชบุรี!I158"")"),0)</f>
        <v>0</v>
      </c>
      <c r="J238" s="267">
        <f ca="1">IFERROR(__xludf.DUMMYFUNCTION("IMPORTRANGE(""https://docs.google.com/spreadsheets/d/1SX6NBoVAgQJ6U1MVXOaj8PK2l7WJ3RER9xtqwdhxkhw/edit?usp=sharing"",""ราชบุรี!J158"")"),0)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IFERROR(__xludf.DUMMYFUNCTION("IMPORTRANGE(""https://docs.google.com/spreadsheets/d/1SX6NBoVAgQJ6U1MVXOaj8PK2l7WJ3RER9xtqwdhxkhw/edit?usp=sharing"",""ราชบุรี!J166"")"),0)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IFERROR(__xludf.DUMMYFUNCTION("IMPORTRANGE(""https://docs.google.com/spreadsheets/d/1SX6NBoVAgQJ6U1MVXOaj8PK2l7WJ3RER9xtqwdhxkhw/edit?usp=sharing"",""ราชบุรี!I169"")"),0)</f>
        <v>0</v>
      </c>
      <c r="J249" s="316">
        <f ca="1">IFERROR(__xludf.DUMMYFUNCTION("IMPORTRANGE(""https://docs.google.com/spreadsheets/d/1SX6NBoVAgQJ6U1MVXOaj8PK2l7WJ3RER9xtqwdhxkhw/edit?usp=sharing"",""ราชบุรี!J169"")"),0)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IFERROR(__xludf.DUMMYFUNCTION("IMPORTRANGE(""https://docs.google.com/spreadsheets/d/1SX6NBoVAgQJ6U1MVXOaj8PK2l7WJ3RER9xtqwdhxkhw/edit?usp=sharing"",""ราชบุรี!J184"")"),0)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IFERROR(__xludf.DUMMYFUNCTION("IMPORTRANGE(""https://docs.google.com/spreadsheets/d/1SX6NBoVAgQJ6U1MVXOaj8PK2l7WJ3RER9xtqwdhxkhw/edit?usp=sharing"",""ราชบุรี!I185"")"),15)</f>
        <v>15</v>
      </c>
      <c r="J270" s="316">
        <f ca="1">IFERROR(__xludf.DUMMYFUNCTION("IMPORTRANGE(""https://docs.google.com/spreadsheets/d/1SX6NBoVAgQJ6U1MVXOaj8PK2l7WJ3RER9xtqwdhxkhw/edit?usp=sharing"",""ราชบุรี!J185"")"),15)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105307.16</v>
      </c>
      <c r="O271" s="151">
        <f t="shared" ref="O271:O273" ca="1" si="84">IF(L271&gt;0,N271*100/L271,0)</f>
        <v>56.253824786324785</v>
      </c>
      <c r="P271" s="151">
        <f t="shared" ref="P271:P273" ca="1" si="85">IF(M271&gt;0,N271*100/M271,0)</f>
        <v>80.234026666666665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131250</v>
      </c>
      <c r="N273" s="157">
        <f t="shared" ca="1" si="87"/>
        <v>105307.16</v>
      </c>
      <c r="O273" s="156">
        <f t="shared" ca="1" si="84"/>
        <v>56.253824786324785</v>
      </c>
      <c r="P273" s="156">
        <f t="shared" ca="1" si="85"/>
        <v>80.234026666666665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IFERROR(__xludf.DUMMYFUNCTION("IMPORTRANGE(""https://docs.google.com/spreadsheets/d/1Yj_ptqi66GCucihVvJfMjLAmec39IyEx_6qawtMGysU/edit?usp=sharing"",""สบก!CK73"")"),131250)</f>
        <v>131250</v>
      </c>
      <c r="N275" s="169">
        <f ca="1">IFERROR(__xludf.DUMMYFUNCTION("IMPORTRANGE(""https://docs.google.com/spreadsheets/d/1Yj_ptqi66GCucihVvJfMjLAmec39IyEx_6qawtMGysU/edit?usp=sharing"",""สบก!CL73"")"),105307.16)</f>
        <v>105307.16</v>
      </c>
      <c r="O275" s="169">
        <f ca="1">IF(L275&gt;0,N275*100/L275,0)</f>
        <v>56.253824786324785</v>
      </c>
      <c r="P275" s="169">
        <f ca="1">IF(M275&gt;0,N275*100/M275,0)</f>
        <v>80.234026666666665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IFERROR(__xludf.DUMMYFUNCTION("IMPORTRANGE(""https://docs.google.com/spreadsheets/d/1SX6NBoVAgQJ6U1MVXOaj8PK2l7WJ3RER9xtqwdhxkhw/edit?usp=sharing"",""ราชบุรี!I199"")"),0)</f>
        <v>0</v>
      </c>
      <c r="J289" s="316">
        <f ca="1">IFERROR(__xludf.DUMMYFUNCTION("IMPORTRANGE(""https://docs.google.com/spreadsheets/d/1SX6NBoVAgQJ6U1MVXOaj8PK2l7WJ3RER9xtqwdhxkhw/edit?usp=sharing"",""ราชบุรี!J199"")"),0)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IFERROR(__xludf.DUMMYFUNCTION("IMPORTRANGE(""https://docs.google.com/spreadsheets/d/1SX6NBoVAgQJ6U1MVXOaj8PK2l7WJ3RER9xtqwdhxkhw/edit?usp=sharing"",""ราชบุรี!J213"")"),0)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IFERROR(__xludf.DUMMYFUNCTION("IMPORTRANGE(""https://docs.google.com/spreadsheets/d/1SX6NBoVAgQJ6U1MVXOaj8PK2l7WJ3RER9xtqwdhxkhw/edit?usp=sharing"",""ราชบุรี!I214"")"),0)</f>
        <v>0</v>
      </c>
      <c r="J309" s="333">
        <f ca="1">IFERROR(__xludf.DUMMYFUNCTION("IMPORTRANGE(""https://docs.google.com/spreadsheets/d/1SX6NBoVAgQJ6U1MVXOaj8PK2l7WJ3RER9xtqwdhxkhw/edit?usp=sharing"",""ราชบุรี!J214"")"),0)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IFERROR(__xludf.DUMMYFUNCTION("IMPORTRANGE(""https://docs.google.com/spreadsheets/d/1SX6NBoVAgQJ6U1MVXOaj8PK2l7WJ3RER9xtqwdhxkhw/edit?usp=sharing"",""ราชบุรี!J226"")"),0)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IFERROR(__xludf.DUMMYFUNCTION("IMPORTRANGE(""https://docs.google.com/spreadsheets/d/1SX6NBoVAgQJ6U1MVXOaj8PK2l7WJ3RER9xtqwdhxkhw/edit?usp=sharing"",""ราชบุรี!I228"")"),340)</f>
        <v>340</v>
      </c>
      <c r="J328" s="339">
        <f ca="1">IFERROR(__xludf.DUMMYFUNCTION("IMPORTRANGE(""https://docs.google.com/spreadsheets/d/1SX6NBoVAgQJ6U1MVXOaj8PK2l7WJ3RER9xtqwdhxkhw/edit?usp=sharing"",""ราชบุรี!J228"")"),55)</f>
        <v>55</v>
      </c>
      <c r="K328" s="317">
        <f ca="1">IF(I328&gt;0,J328*100/I328,0)</f>
        <v>16.176470588235293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1009800</v>
      </c>
      <c r="M329" s="152">
        <f t="shared" ca="1" si="98"/>
        <v>752380</v>
      </c>
      <c r="N329" s="152">
        <f t="shared" ca="1" si="98"/>
        <v>597278.44999999995</v>
      </c>
      <c r="O329" s="151">
        <f t="shared" ref="O329:O331" ca="1" si="99">IF(L329&gt;0,N329*100/L329,0)</f>
        <v>59.148192711427996</v>
      </c>
      <c r="P329" s="151">
        <f t="shared" ref="P329:P331" ca="1" si="100">IF(M329&gt;0,N329*100/M329,0)</f>
        <v>79.385210930646736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1009800</v>
      </c>
      <c r="M331" s="157">
        <f t="shared" ca="1" si="102"/>
        <v>752380</v>
      </c>
      <c r="N331" s="157">
        <f t="shared" ca="1" si="102"/>
        <v>597278.44999999995</v>
      </c>
      <c r="O331" s="156">
        <f t="shared" ca="1" si="99"/>
        <v>59.148192711427996</v>
      </c>
      <c r="P331" s="156">
        <f t="shared" ca="1" si="100"/>
        <v>79.385210930646736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975300</v>
      </c>
      <c r="M333" s="168">
        <f ca="1">IFERROR(__xludf.DUMMYFUNCTION("IMPORTRANGE(""https://docs.google.com/spreadsheets/d/1Yj_ptqi66GCucihVvJfMjLAmec39IyEx_6qawtMGysU/edit?usp=sharing"",""สบก!DL73"")"),717880)</f>
        <v>717880</v>
      </c>
      <c r="N333" s="169">
        <f ca="1">IFERROR(__xludf.DUMMYFUNCTION("IMPORTRANGE(""https://docs.google.com/spreadsheets/d/1Yj_ptqi66GCucihVvJfMjLAmec39IyEx_6qawtMGysU/edit?usp=sharing"",""สบก!DM73"")"),562778.45)</f>
        <v>562778.44999999995</v>
      </c>
      <c r="O333" s="169">
        <f ca="1">IF(L333&gt;0,N333*100/L333,0)</f>
        <v>57.703111863016503</v>
      </c>
      <c r="P333" s="169">
        <f ca="1">IF(M333&gt;0,N333*100/M333,0)</f>
        <v>78.394501866607229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IFERROR(__xludf.DUMMYFUNCTION("IMPORTRANGE(""https://docs.google.com/spreadsheets/d/1Yj_ptqi66GCucihVvJfMjLAmec39IyEx_6qawtMGysU/edit?usp=sharing"",""สบก!DI73"")"),411300)</f>
        <v>411300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IFERROR(__xludf.DUMMYFUNCTION("IMPORTRANGE(""https://docs.google.com/spreadsheets/d/1SX6NBoVAgQJ6U1MVXOaj8PK2l7WJ3RER9xtqwdhxkhw/edit?usp=sharing"",""ราชบุรี!J234"")"),70)</f>
        <v>70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IFERROR(__xludf.DUMMYFUNCTION("IMPORTRANGE(""https://docs.google.com/spreadsheets/d/1SX6NBoVAgQJ6U1MVXOaj8PK2l7WJ3RER9xtqwdhxkhw/edit?usp=sharing"",""ราชบุรี!I235"")"),2600)</f>
        <v>2600</v>
      </c>
      <c r="J340" s="188">
        <f ca="1">IFERROR(__xludf.DUMMYFUNCTION("IMPORTRANGE(""https://docs.google.com/spreadsheets/d/1SX6NBoVAgQJ6U1MVXOaj8PK2l7WJ3RER9xtqwdhxkhw/edit?usp=sharing"",""ราชบุรี!J235"")"),960.41)</f>
        <v>960.41</v>
      </c>
      <c r="K340" s="342">
        <f t="shared" ca="1" si="103"/>
        <v>36.938846153846157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IFERROR(__xludf.DUMMYFUNCTION("IMPORTRANGE(""https://docs.google.com/spreadsheets/d/1SX6NBoVAgQJ6U1MVXOaj8PK2l7WJ3RER9xtqwdhxkhw/edit?usp=sharing"",""ราชบุรี!I236"")"),340)</f>
        <v>340</v>
      </c>
      <c r="J341" s="188">
        <f ca="1">IFERROR(__xludf.DUMMYFUNCTION("IMPORTRANGE(""https://docs.google.com/spreadsheets/d/1SX6NBoVAgQJ6U1MVXOaj8PK2l7WJ3RER9xtqwdhxkhw/edit?usp=sharing"",""ราชบุรี!J236"")"),56)</f>
        <v>56</v>
      </c>
      <c r="K341" s="342">
        <f t="shared" ca="1" si="103"/>
        <v>16.470588235294116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IFERROR(__xludf.DUMMYFUNCTION("IMPORTRANGE(""https://docs.google.com/spreadsheets/d/1SX6NBoVAgQJ6U1MVXOaj8PK2l7WJ3RER9xtqwdhxkhw/edit?usp=sharing"",""ราชบุรี!J237"")"),484.08)</f>
        <v>484.08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IFERROR(__xludf.DUMMYFUNCTION("IMPORTRANGE(""https://docs.google.com/spreadsheets/d/1SX6NBoVAgQJ6U1MVXOaj8PK2l7WJ3RER9xtqwdhxkhw/edit?usp=sharing"",""ราชบุรี!I238"")"),340)</f>
        <v>340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IFERROR(__xludf.DUMMYFUNCTION("IMPORTRANGE(""https://docs.google.com/spreadsheets/d/1SX6NBoVAgQJ6U1MVXOaj8PK2l7WJ3RER9xtqwdhxkhw/edit?usp=sharing"",""ราชบุรี!I240"")"),340)</f>
        <v>340</v>
      </c>
      <c r="J345" s="188">
        <f ca="1">IFERROR(__xludf.DUMMYFUNCTION("IMPORTRANGE(""https://docs.google.com/spreadsheets/d/1SX6NBoVAgQJ6U1MVXOaj8PK2l7WJ3RER9xtqwdhxkhw/edit?usp=sharing"",""ราชบุรี!J240"")"),55)</f>
        <v>55</v>
      </c>
      <c r="K345" s="342">
        <f t="shared" ca="1" si="103"/>
        <v>16.176470588235293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IFERROR(__xludf.DUMMYFUNCTION("IMPORTRANGE(""https://docs.google.com/spreadsheets/d/1SX6NBoVAgQJ6U1MVXOaj8PK2l7WJ3RER9xtqwdhxkhw/edit?usp=sharing"",""ราชบุรี!J241"")"),463.65)</f>
        <v>463.65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IFERROR(__xludf.DUMMYFUNCTION("IMPORTRANGE(""https://docs.google.com/spreadsheets/d/1SX6NBoVAgQJ6U1MVXOaj8PK2l7WJ3RER9xtqwdhxkhw/edit?usp=sharing"",""ราชบุรี!L242"")"),1596532)</f>
        <v>1596532</v>
      </c>
      <c r="M347" s="358"/>
      <c r="N347" s="358">
        <f ca="1">IFERROR(__xludf.DUMMYFUNCTION("IMPORTRANGE(""https://docs.google.com/spreadsheets/d/1SX6NBoVAgQJ6U1MVXOaj8PK2l7WJ3RER9xtqwdhxkhw/edit?usp=sharing"",""ราชบุรี!M242"")"),616247.75)</f>
        <v>616247.75</v>
      </c>
      <c r="O347" s="358">
        <f ca="1">+IF(L347&gt;0,N347*100/L347,0)</f>
        <v>38.599148028351451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IFERROR(__xludf.DUMMYFUNCTION("IMPORTRANGE(""https://docs.google.com/spreadsheets/d/1SX6NBoVAgQJ6U1MVXOaj8PK2l7WJ3RER9xtqwdhxkhw/edit?usp=sharing"",""ราชบุรี!M275"")"),263064.58)</f>
        <v>263064.58</v>
      </c>
      <c r="O380" s="373">
        <f ca="1">+IF(L380&gt;0,N380*100/L380,0)</f>
        <v>25.577001905650839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IFERROR(__xludf.DUMMYFUNCTION("IMPORTRANGE(""https://docs.google.com/spreadsheets/d/1SX6NBoVAgQJ6U1MVXOaj8PK2l7WJ3RER9xtqwdhxkhw/edit?usp=sharing"",""ราชบุรี!M278"")"),263064.58)</f>
        <v>263064.58</v>
      </c>
      <c r="O383" s="165">
        <f t="shared" ca="1" si="109"/>
        <v>25.577001905650839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IFERROR(__xludf.DUMMYFUNCTION("IMPORTRANGE(""https://docs.google.com/spreadsheets/d/1SX6NBoVAgQJ6U1MVXOaj8PK2l7WJ3RER9xtqwdhxkhw/edit?usp=sharing"",""ราชบุรี!M280"")"),263064.58)</f>
        <v>263064.58</v>
      </c>
      <c r="O385" s="169">
        <f t="shared" ca="1" si="109"/>
        <v>25.577001905650839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IFERROR(__xludf.DUMMYFUNCTION("IMPORTRANGE(""https://docs.google.com/spreadsheets/d/1SX6NBoVAgQJ6U1MVXOaj8PK2l7WJ3RER9xtqwdhxkhw/edit?usp=sharing"",""ราชบุรี!M281"")"),153510)</f>
        <v>153510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IFERROR(__xludf.DUMMYFUNCTION("IMPORTRANGE(""https://docs.google.com/spreadsheets/d/1SX6NBoVAgQJ6U1MVXOaj8PK2l7WJ3RER9xtqwdhxkhw/edit?usp=sharing"",""ราชบุรี!M283"")"),71560.4)</f>
        <v>71560.399999999994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IFERROR(__xludf.DUMMYFUNCTION("IMPORTRANGE(""https://docs.google.com/spreadsheets/d/1SX6NBoVAgQJ6U1MVXOaj8PK2l7WJ3RER9xtqwdhxkhw/edit?usp=sharing"",""ราชบุรี!M284"")"),37994.18)</f>
        <v>37994.18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IFERROR(__xludf.DUMMYFUNCTION("IMPORTRANGE(""https://docs.google.com/spreadsheets/d/1SX6NBoVAgQJ6U1MVXOaj8PK2l7WJ3RER9xtqwdhxkhw/edit?usp=sharing"",""ราชบุรี!M296"")"),149714.68)</f>
        <v>149714.68</v>
      </c>
      <c r="O401" s="373">
        <f ca="1">+IF(L401&gt;0,N401*100/L401,0)</f>
        <v>66.09044276696244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IFERROR(__xludf.DUMMYFUNCTION("IMPORTRANGE(""https://docs.google.com/spreadsheets/d/1SX6NBoVAgQJ6U1MVXOaj8PK2l7WJ3RER9xtqwdhxkhw/edit?usp=sharing"",""ราชบุรี!M299"")"),149714.68)</f>
        <v>149714.68</v>
      </c>
      <c r="O404" s="169">
        <f t="shared" ca="1" si="112"/>
        <v>66.09044276696244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IFERROR(__xludf.DUMMYFUNCTION("IMPORTRANGE(""https://docs.google.com/spreadsheets/d/1SX6NBoVAgQJ6U1MVXOaj8PK2l7WJ3RER9xtqwdhxkhw/edit?usp=sharing"",""ราชบุรี!M301"")"),149714.68)</f>
        <v>149714.68</v>
      </c>
      <c r="O406" s="169">
        <f t="shared" ca="1" si="112"/>
        <v>66.09044276696244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IFERROR(__xludf.DUMMYFUNCTION("IMPORTRANGE(""https://docs.google.com/spreadsheets/d/1SX6NBoVAgQJ6U1MVXOaj8PK2l7WJ3RER9xtqwdhxkhw/edit?usp=sharing"",""ราชบุรี!M302"")"),128930)</f>
        <v>128930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IFERROR(__xludf.DUMMYFUNCTION("IMPORTRANGE(""https://docs.google.com/spreadsheets/d/1SX6NBoVAgQJ6U1MVXOaj8PK2l7WJ3RER9xtqwdhxkhw/edit?usp=sharing"",""ราชบุรี!M305"")"),20784.68)</f>
        <v>20784.68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IFERROR(__xludf.DUMMYFUNCTION("IMPORTRANGE(""https://docs.google.com/spreadsheets/d/1SX6NBoVAgQJ6U1MVXOaj8PK2l7WJ3RER9xtqwdhxkhw/edit?usp=sharing"",""ราชบุรี!M330"")"),58085.58)</f>
        <v>58085.58</v>
      </c>
      <c r="O435" s="412">
        <f t="shared" ref="O435:O439" ca="1" si="114">+IF(L435&gt;0,N435*100/L435,0)</f>
        <v>58.08558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IFERROR(__xludf.DUMMYFUNCTION("IMPORTRANGE(""https://docs.google.com/spreadsheets/d/1SX6NBoVAgQJ6U1MVXOaj8PK2l7WJ3RER9xtqwdhxkhw/edit?usp=sharing"",""ราชบุรี!M332"")"),58085.58)</f>
        <v>58085.58</v>
      </c>
      <c r="O437" s="169">
        <f t="shared" ca="1" si="114"/>
        <v>58.08558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IFERROR(__xludf.DUMMYFUNCTION("IMPORTRANGE(""https://docs.google.com/spreadsheets/d/1SX6NBoVAgQJ6U1MVXOaj8PK2l7WJ3RER9xtqwdhxkhw/edit?usp=sharing"",""ราชบุรี!M334"")"),58085.58)</f>
        <v>58085.58</v>
      </c>
      <c r="O439" s="169">
        <f t="shared" ca="1" si="114"/>
        <v>58.08558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IFERROR(__xludf.DUMMYFUNCTION("IMPORTRANGE(""https://docs.google.com/spreadsheets/d/1SX6NBoVAgQJ6U1MVXOaj8PK2l7WJ3RER9xtqwdhxkhw/edit?usp=sharing"",""ราชบุรี!M335"")"),42940)</f>
        <v>42940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IFERROR(__xludf.DUMMYFUNCTION("IMPORTRANGE(""https://docs.google.com/spreadsheets/d/1SX6NBoVAgQJ6U1MVXOaj8PK2l7WJ3RER9xtqwdhxkhw/edit?usp=sharing"",""ราชบุรี!M338"")"),15145.58)</f>
        <v>15145.58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IFERROR(__xludf.DUMMYFUNCTION("IMPORTRANGE(""https://docs.google.com/spreadsheets/d/1SX6NBoVAgQJ6U1MVXOaj8PK2l7WJ3RER9xtqwdhxkhw/edit?usp=sharing"",""ราชบุรี!L350"")"),75712)</f>
        <v>75712</v>
      </c>
      <c r="M455" s="373"/>
      <c r="N455" s="373">
        <f ca="1">IFERROR(__xludf.DUMMYFUNCTION("IMPORTRANGE(""https://docs.google.com/spreadsheets/d/1SX6NBoVAgQJ6U1MVXOaj8PK2l7WJ3RER9xtqwdhxkhw/edit?usp=sharing"",""ราชบุรี!M350"")"),30956.26)</f>
        <v>30956.26</v>
      </c>
      <c r="O455" s="373">
        <f t="shared" ref="O455:O459" ca="1" si="116">+IF(L455&gt;0,N455*100/L455,0)</f>
        <v>40.886860735418431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IFERROR(__xludf.DUMMYFUNCTION("IMPORTRANGE(""https://docs.google.com/spreadsheets/d/1SX6NBoVAgQJ6U1MVXOaj8PK2l7WJ3RER9xtqwdhxkhw/edit?usp=sharing"",""ราชบุรี!L352"")"),75712)</f>
        <v>75712</v>
      </c>
      <c r="M457" s="165"/>
      <c r="N457" s="169">
        <f ca="1">IFERROR(__xludf.DUMMYFUNCTION("IMPORTRANGE(""https://docs.google.com/spreadsheets/d/1SX6NBoVAgQJ6U1MVXOaj8PK2l7WJ3RER9xtqwdhxkhw/edit?usp=sharing"",""ราชบุรี!M352"")"),30956.26)</f>
        <v>30956.26</v>
      </c>
      <c r="O457" s="169">
        <f t="shared" ca="1" si="116"/>
        <v>40.886860735418431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IFERROR(__xludf.DUMMYFUNCTION("IMPORTRANGE(""https://docs.google.com/spreadsheets/d/1SX6NBoVAgQJ6U1MVXOaj8PK2l7WJ3RER9xtqwdhxkhw/edit?usp=sharing"",""ราชบุรี!L354"")"),75712)</f>
        <v>75712</v>
      </c>
      <c r="M459" s="169"/>
      <c r="N459" s="169">
        <f ca="1">IFERROR(__xludf.DUMMYFUNCTION("IMPORTRANGE(""https://docs.google.com/spreadsheets/d/1SX6NBoVAgQJ6U1MVXOaj8PK2l7WJ3RER9xtqwdhxkhw/edit?usp=sharing"",""ราชบุรี!M354"")"),30956.26)</f>
        <v>30956.26</v>
      </c>
      <c r="O459" s="169">
        <f t="shared" ca="1" si="116"/>
        <v>40.886860735418431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IFERROR(__xludf.DUMMYFUNCTION("IMPORTRANGE(""https://docs.google.com/spreadsheets/d/1SX6NBoVAgQJ6U1MVXOaj8PK2l7WJ3RER9xtqwdhxkhw/edit?usp=sharing"",""ราชบุรี!M358"")"),30956.26)</f>
        <v>30956.26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IFERROR(__xludf.DUMMYFUNCTION("IMPORTRANGE(""https://docs.google.com/spreadsheets/d/1SX6NBoVAgQJ6U1MVXOaj8PK2l7WJ3RER9xtqwdhxkhw/edit?usp=sharing"",""ราชบุรี!I359"")"),0)</f>
        <v>0</v>
      </c>
      <c r="J464" s="267">
        <f ca="1">IFERROR(__xludf.DUMMYFUNCTION("IMPORTRANGE(""https://docs.google.com/spreadsheets/d/1SX6NBoVAgQJ6U1MVXOaj8PK2l7WJ3RER9xtqwdhxkhw/edit?usp=sharing"",""ราชบุรี!J359"")"),0)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IFERROR(__xludf.DUMMYFUNCTION("IMPORTRANGE(""https://docs.google.com/spreadsheets/d/1SX6NBoVAgQJ6U1MVXOaj8PK2l7WJ3RER9xtqwdhxkhw/edit?usp=sharing"",""ราชบุรี!J392"")"),1407)</f>
        <v>1407</v>
      </c>
      <c r="K497" s="444">
        <f t="shared" ca="1" si="117"/>
        <v>82.184579439252332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IFERROR(__xludf.DUMMYFUNCTION("IMPORTRANGE(""https://docs.google.com/spreadsheets/d/1SX6NBoVAgQJ6U1MVXOaj8PK2l7WJ3RER9xtqwdhxkhw/edit?usp=sharing"",""ราชบุรี!J393"")"),1407)</f>
        <v>1407</v>
      </c>
      <c r="K498" s="202">
        <f t="shared" ca="1" si="117"/>
        <v>82.184579439252332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IFERROR(__xludf.DUMMYFUNCTION("IMPORTRANGE(""https://docs.google.com/spreadsheets/d/1SX6NBoVAgQJ6U1MVXOaj8PK2l7WJ3RER9xtqwdhxkhw/edit?usp=sharing"",""ราชบุรี!J394"")"),92)</f>
        <v>92</v>
      </c>
      <c r="K499" s="202">
        <f t="shared" ca="1" si="117"/>
        <v>78.632478632478637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IFERROR(__xludf.DUMMYFUNCTION("IMPORTRANGE(""https://docs.google.com/spreadsheets/d/1SX6NBoVAgQJ6U1MVXOaj8PK2l7WJ3RER9xtqwdhxkhw/edit?usp=sharing"",""ราชบุรี!J395"")"),1407)</f>
        <v>1407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IFERROR(__xludf.DUMMYFUNCTION("IMPORTRANGE(""https://docs.google.com/spreadsheets/d/1SX6NBoVAgQJ6U1MVXOaj8PK2l7WJ3RER9xtqwdhxkhw/edit?usp=sharing"",""ราชบุรี!J396"")"),92)</f>
        <v>92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IFERROR(__xludf.DUMMYFUNCTION("IMPORTRANGE(""https://docs.google.com/spreadsheets/d/1SX6NBoVAgQJ6U1MVXOaj8PK2l7WJ3RER9xtqwdhxkhw/edit?usp=sharing"",""ราชบุรี!J397"")"),1407)</f>
        <v>1407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IFERROR(__xludf.DUMMYFUNCTION("IMPORTRANGE(""https://docs.google.com/spreadsheets/d/1SX6NBoVAgQJ6U1MVXOaj8PK2l7WJ3RER9xtqwdhxkhw/edit?usp=sharing"",""ราชบุรี!J398"")"),92)</f>
        <v>92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IFERROR(__xludf.DUMMYFUNCTION("IMPORTRANGE(""https://docs.google.com/spreadsheets/d/1SX6NBoVAgQJ6U1MVXOaj8PK2l7WJ3RER9xtqwdhxkhw/edit?usp=sharing"",""ราชบุรี!I411"")"),0)</f>
        <v>0</v>
      </c>
      <c r="J516" s="267">
        <f ca="1">IFERROR(__xludf.DUMMYFUNCTION("IMPORTRANGE(""https://docs.google.com/spreadsheets/d/1SX6NBoVAgQJ6U1MVXOaj8PK2l7WJ3RER9xtqwdhxkhw/edit?usp=sharing"",""ราชบุรี!J411"")"),0)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IFERROR(__xludf.DUMMYFUNCTION("IMPORTRANGE(""https://docs.google.com/spreadsheets/d/1SX6NBoVAgQJ6U1MVXOaj8PK2l7WJ3RER9xtqwdhxkhw/edit?usp=sharing"",""ราชบุรี!I412"")"),0)</f>
        <v>0</v>
      </c>
      <c r="J517" s="284">
        <f ca="1">IFERROR(__xludf.DUMMYFUNCTION("IMPORTRANGE(""https://docs.google.com/spreadsheets/d/1SX6NBoVAgQJ6U1MVXOaj8PK2l7WJ3RER9xtqwdhxkhw/edit?usp=sharing"",""ราชบุรี!J412"")"),0)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IFERROR(__xludf.DUMMYFUNCTION("IMPORTRANGE(""https://docs.google.com/spreadsheets/d/1SX6NBoVAgQJ6U1MVXOaj8PK2l7WJ3RER9xtqwdhxkhw/edit?usp=sharing"",""ราชบุรี!I413"")"),0)</f>
        <v>0</v>
      </c>
      <c r="J518" s="284">
        <f ca="1">IFERROR(__xludf.DUMMYFUNCTION("IMPORTRANGE(""https://docs.google.com/spreadsheets/d/1SX6NBoVAgQJ6U1MVXOaj8PK2l7WJ3RER9xtqwdhxkhw/edit?usp=sharing"",""ราชบุรี!J413"")"),0)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IFERROR(__xludf.DUMMYFUNCTION("IMPORTRANGE(""https://docs.google.com/spreadsheets/d/1SX6NBoVAgQJ6U1MVXOaj8PK2l7WJ3RER9xtqwdhxkhw/edit?usp=sharing"",""ราชบุรี!I420"")"),0)</f>
        <v>0</v>
      </c>
      <c r="J525" s="284">
        <f ca="1">IFERROR(__xludf.DUMMYFUNCTION("IMPORTRANGE(""https://docs.google.com/spreadsheets/d/1SX6NBoVAgQJ6U1MVXOaj8PK2l7WJ3RER9xtqwdhxkhw/edit?usp=sharing"",""ราชบุรี!J420"")"),0)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IFERROR(__xludf.DUMMYFUNCTION("IMPORTRANGE(""https://docs.google.com/spreadsheets/d/1SX6NBoVAgQJ6U1MVXOaj8PK2l7WJ3RER9xtqwdhxkhw/edit?usp=sharing"",""ราชบุรี!I421"")"),0)</f>
        <v>0</v>
      </c>
      <c r="J526" s="284">
        <f ca="1">IFERROR(__xludf.DUMMYFUNCTION("IMPORTRANGE(""https://docs.google.com/spreadsheets/d/1SX6NBoVAgQJ6U1MVXOaj8PK2l7WJ3RER9xtqwdhxkhw/edit?usp=sharing"",""ราชบุรี!J421"")"),0)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IFERROR(__xludf.DUMMYFUNCTION("IMPORTRANGE(""https://docs.google.com/spreadsheets/d/1SX6NBoVAgQJ6U1MVXOaj8PK2l7WJ3RER9xtqwdhxkhw/edit?usp=sharing"",""ราชบุรี!M428"")"),28116.97)</f>
        <v>28116.97</v>
      </c>
      <c r="O533" s="412">
        <f t="shared" ref="O533:O537" ca="1" si="118">+IF(L533&gt;0,N533*100/L533,0)</f>
        <v>81.878188701223067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IFERROR(__xludf.DUMMYFUNCTION("IMPORTRANGE(""https://docs.google.com/spreadsheets/d/1SX6NBoVAgQJ6U1MVXOaj8PK2l7WJ3RER9xtqwdhxkhw/edit?usp=sharing"",""ราชบุรี!M430"")"),28116.97)</f>
        <v>28116.97</v>
      </c>
      <c r="O535" s="169">
        <f t="shared" ca="1" si="118"/>
        <v>81.878188701223067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IFERROR(__xludf.DUMMYFUNCTION("IMPORTRANGE(""https://docs.google.com/spreadsheets/d/1SX6NBoVAgQJ6U1MVXOaj8PK2l7WJ3RER9xtqwdhxkhw/edit?usp=sharing"",""ราชบุรี!M432"")"),28116.97)</f>
        <v>28116.97</v>
      </c>
      <c r="O537" s="169">
        <f t="shared" ca="1" si="118"/>
        <v>81.878188701223067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IFERROR(__xludf.DUMMYFUNCTION("IMPORTRANGE(""https://docs.google.com/spreadsheets/d/1SX6NBoVAgQJ6U1MVXOaj8PK2l7WJ3RER9xtqwdhxkhw/edit?usp=sharing"",""ราชบุรี!M433"")"),17014)</f>
        <v>17014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IFERROR(__xludf.DUMMYFUNCTION("IMPORTRANGE(""https://docs.google.com/spreadsheets/d/1SX6NBoVAgQJ6U1MVXOaj8PK2l7WJ3RER9xtqwdhxkhw/edit?usp=sharing"",""ราชบุรี!M436"")"),11102.97)</f>
        <v>11102.97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IFERROR(__xludf.DUMMYFUNCTION("IMPORTRANGE(""https://docs.google.com/spreadsheets/d/1SX6NBoVAgQJ6U1MVXOaj8PK2l7WJ3RER9xtqwdhxkhw/edit?usp=sharing"",""ราชบุรี!J459"")"),2921)</f>
        <v>2921</v>
      </c>
      <c r="K564" s="372">
        <f ca="1">IF(I564&gt;0,J564*100/I564,0)</f>
        <v>531.09090909090912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IFERROR(__xludf.DUMMYFUNCTION("IMPORTRANGE(""https://docs.google.com/spreadsheets/d/1SX6NBoVAgQJ6U1MVXOaj8PK2l7WJ3RER9xtqwdhxkhw/edit?usp=sharing"",""ราชบุรี!M459"")"),86009.68)</f>
        <v>86009.68</v>
      </c>
      <c r="O564" s="373">
        <f t="shared" ref="O564:O568" ca="1" si="122">+IF(L564&gt;0,N564*100/L564,0)</f>
        <v>68.218337563451783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IFERROR(__xludf.DUMMYFUNCTION("IMPORTRANGE(""https://docs.google.com/spreadsheets/d/1SX6NBoVAgQJ6U1MVXOaj8PK2l7WJ3RER9xtqwdhxkhw/edit?usp=sharing"",""ราชบุรี!M461"")"),86009.68)</f>
        <v>86009.68</v>
      </c>
      <c r="O566" s="169">
        <f t="shared" ca="1" si="122"/>
        <v>68.218337563451783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IFERROR(__xludf.DUMMYFUNCTION("IMPORTRANGE(""https://docs.google.com/spreadsheets/d/1SX6NBoVAgQJ6U1MVXOaj8PK2l7WJ3RER9xtqwdhxkhw/edit?usp=sharing"",""ราชบุรี!M463"")"),86009.68)</f>
        <v>86009.68</v>
      </c>
      <c r="O568" s="169">
        <f t="shared" ca="1" si="122"/>
        <v>68.218337563451783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IFERROR(__xludf.DUMMYFUNCTION("IMPORTRANGE(""https://docs.google.com/spreadsheets/d/1SX6NBoVAgQJ6U1MVXOaj8PK2l7WJ3RER9xtqwdhxkhw/edit?usp=sharing"",""ราชบุรี!M466"")"),68419.36)</f>
        <v>68419.360000000001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IFERROR(__xludf.DUMMYFUNCTION("IMPORTRANGE(""https://docs.google.com/spreadsheets/d/1SX6NBoVAgQJ6U1MVXOaj8PK2l7WJ3RER9xtqwdhxkhw/edit?usp=sharing"",""ราชบุรี!M467"")"),17590.32)</f>
        <v>17590.32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IFERROR(__xludf.DUMMYFUNCTION("IMPORTRANGE(""https://docs.google.com/spreadsheets/d/1SX6NBoVAgQJ6U1MVXOaj8PK2l7WJ3RER9xtqwdhxkhw/edit?usp=sharing"",""ราชบุรี!J468"")"),2921)</f>
        <v>2921</v>
      </c>
      <c r="K573" s="202">
        <f ca="1">IF(I573&gt;0,J573*100/I573,0)</f>
        <v>531.09090909090912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IFERROR(__xludf.DUMMYFUNCTION("IMPORTRANGE(""https://docs.google.com/spreadsheets/d/1SX6NBoVAgQJ6U1MVXOaj8PK2l7WJ3RER9xtqwdhxkhw/edit?usp=sharing"",""ราชบุรี!J471"")"),112)</f>
        <v>112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IFERROR(__xludf.DUMMYFUNCTION("IMPORTRANGE(""https://docs.google.com/spreadsheets/d/1SX6NBoVAgQJ6U1MVXOaj8PK2l7WJ3RER9xtqwdhxkhw/edit?usp=sharing"",""ราชบุรี!J472"")"),2805)</f>
        <v>2805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IFERROR(__xludf.DUMMYFUNCTION("IMPORTRANGE(""https://docs.google.com/spreadsheets/d/1SX6NBoVAgQJ6U1MVXOaj8PK2l7WJ3RER9xtqwdhxkhw/edit?usp=sharing"",""ราชบุรี!J473"")"),4)</f>
        <v>4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IFERROR(__xludf.DUMMYFUNCTION("IMPORTRANGE(""https://docs.google.com/spreadsheets/d/1SX6NBoVAgQJ6U1MVXOaj8PK2l7WJ3RER9xtqwdhxkhw/edit?usp=sharing"",""ราชบุรี!I491"")"),0)</f>
        <v>0</v>
      </c>
      <c r="J596" s="241">
        <f ca="1">IFERROR(__xludf.DUMMYFUNCTION("IMPORTRANGE(""https://docs.google.com/spreadsheets/d/1SX6NBoVAgQJ6U1MVXOaj8PK2l7WJ3RER9xtqwdhxkhw/edit?usp=sharing"",""ราชบุรี!J491"")"),0)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7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IFERROR(__xludf.DUMMYFUNCTION("IMPORTRANGE(""https://docs.google.com/spreadsheets/d/1SX6NBoVAgQJ6U1MVXOaj8PK2l7WJ3RER9xtqwdhxkhw/edit?usp=sharing"",""ราชบุรี!L494"")"),5350)</f>
        <v>5350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5.6074766355140184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IFERROR(__xludf.DUMMYFUNCTION("IMPORTRANGE(""https://docs.google.com/spreadsheets/d/1SX6NBoVAgQJ6U1MVXOaj8PK2l7WJ3RER9xtqwdhxkhw/edit?usp=sharing"",""ราชบุรี!L496"")"),5350)</f>
        <v>5350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5.6074766355140184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IFERROR(__xludf.DUMMYFUNCTION("IMPORTRANGE(""https://docs.google.com/spreadsheets/d/1SX6NBoVAgQJ6U1MVXOaj8PK2l7WJ3RER9xtqwdhxkhw/edit?usp=sharing"",""ราชบุรี!I523"")"),1799548.1)</f>
        <v>1799548.1</v>
      </c>
      <c r="J628" s="341">
        <f ca="1">IFERROR(__xludf.DUMMYFUNCTION("IMPORTRANGE(""https://docs.google.com/spreadsheets/d/1SX6NBoVAgQJ6U1MVXOaj8PK2l7WJ3RER9xtqwdhxkhw/edit?usp=sharing"",""ราชบุรี!J523"")"),1165601.26)</f>
        <v>1165601.26</v>
      </c>
      <c r="K628" s="342">
        <f t="shared" ref="K628:K635" ca="1" si="129">IF(I628&gt;0,J628*100/I628,0)</f>
        <v>64.771886897605015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IFERROR(__xludf.DUMMYFUNCTION("IMPORTRANGE(""https://docs.google.com/spreadsheets/d/1SX6NBoVAgQJ6U1MVXOaj8PK2l7WJ3RER9xtqwdhxkhw/edit?usp=sharing"",""ราชบุรี!I524"")"),117)</f>
        <v>117</v>
      </c>
      <c r="J629" s="341">
        <f ca="1">IFERROR(__xludf.DUMMYFUNCTION("IMPORTRANGE(""https://docs.google.com/spreadsheets/d/1SX6NBoVAgQJ6U1MVXOaj8PK2l7WJ3RER9xtqwdhxkhw/edit?usp=sharing"",""ราชบุรี!J524"")"),79)</f>
        <v>79</v>
      </c>
      <c r="K629" s="342">
        <f t="shared" ca="1" si="129"/>
        <v>67.521367521367523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IFERROR(__xludf.DUMMYFUNCTION("IMPORTRANGE(""https://docs.google.com/spreadsheets/d/1SX6NBoVAgQJ6U1MVXOaj8PK2l7WJ3RER9xtqwdhxkhw/edit?usp=sharing"",""ราชบุรี!I525"")"),4148676.3)</f>
        <v>4148676.3</v>
      </c>
      <c r="J630" s="341">
        <f ca="1">IFERROR(__xludf.DUMMYFUNCTION("IMPORTRANGE(""https://docs.google.com/spreadsheets/d/1SX6NBoVAgQJ6U1MVXOaj8PK2l7WJ3RER9xtqwdhxkhw/edit?usp=sharing"",""ราชบุรี!J525"")"),696047.99)</f>
        <v>696047.99</v>
      </c>
      <c r="K630" s="342">
        <f t="shared" ca="1" si="129"/>
        <v>16.777592168374284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IFERROR(__xludf.DUMMYFUNCTION("IMPORTRANGE(""https://docs.google.com/spreadsheets/d/1SX6NBoVAgQJ6U1MVXOaj8PK2l7WJ3RER9xtqwdhxkhw/edit?usp=sharing"",""ราชบุรี!I526"")"),203)</f>
        <v>203</v>
      </c>
      <c r="J631" s="341">
        <f ca="1">IFERROR(__xludf.DUMMYFUNCTION("IMPORTRANGE(""https://docs.google.com/spreadsheets/d/1SX6NBoVAgQJ6U1MVXOaj8PK2l7WJ3RER9xtqwdhxkhw/edit?usp=sharing"",""ราชบุรี!J526"")"),123)</f>
        <v>123</v>
      </c>
      <c r="K631" s="342">
        <f t="shared" ca="1" si="129"/>
        <v>60.591133004926107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IFERROR(__xludf.DUMMYFUNCTION("IMPORTRANGE(""https://docs.google.com/spreadsheets/d/1SX6NBoVAgQJ6U1MVXOaj8PK2l7WJ3RER9xtqwdhxkhw/edit?usp=sharing"",""ราชบุรี!I527"")"),130782.22)</f>
        <v>130782.22</v>
      </c>
      <c r="J632" s="341">
        <f ca="1">IFERROR(__xludf.DUMMYFUNCTION("IMPORTRANGE(""https://docs.google.com/spreadsheets/d/1SX6NBoVAgQJ6U1MVXOaj8PK2l7WJ3RER9xtqwdhxkhw/edit?usp=sharing"",""ราชบุรี!J527"")"),54871.57)</f>
        <v>54871.57</v>
      </c>
      <c r="K632" s="342">
        <f t="shared" ca="1" si="129"/>
        <v>41.95644484395509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IFERROR(__xludf.DUMMYFUNCTION("IMPORTRANGE(""https://docs.google.com/spreadsheets/d/1SX6NBoVAgQJ6U1MVXOaj8PK2l7WJ3RER9xtqwdhxkhw/edit?usp=sharing"",""ราชบุรี!I528"")"),15)</f>
        <v>15</v>
      </c>
      <c r="J633" s="341">
        <f ca="1">IFERROR(__xludf.DUMMYFUNCTION("IMPORTRANGE(""https://docs.google.com/spreadsheets/d/1SX6NBoVAgQJ6U1MVXOaj8PK2l7WJ3RER9xtqwdhxkhw/edit?usp=sharing"",""ราชบุรี!J528"")"),8)</f>
        <v>8</v>
      </c>
      <c r="K633" s="342">
        <f t="shared" ca="1" si="129"/>
        <v>53.333333333333336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IFERROR(__xludf.DUMMYFUNCTION("IMPORTRANGE(""https://docs.google.com/spreadsheets/d/1SX6NBoVAgQJ6U1MVXOaj8PK2l7WJ3RER9xtqwdhxkhw/edit?usp=sharing"",""ราชบุรี!I529"")"),2000000)</f>
        <v>2000000</v>
      </c>
      <c r="J634" s="341">
        <f ca="1">IFERROR(__xludf.DUMMYFUNCTION("IMPORTRANGE(""https://docs.google.com/spreadsheets/d/1SX6NBoVAgQJ6U1MVXOaj8PK2l7WJ3RER9xtqwdhxkhw/edit?usp=sharing"",""ราชบุรี!J529"")"),1080000)</f>
        <v>1080000</v>
      </c>
      <c r="K634" s="342">
        <f t="shared" ca="1" si="129"/>
        <v>54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IFERROR(__xludf.DUMMYFUNCTION("IMPORTRANGE(""https://docs.google.com/spreadsheets/d/1SX6NBoVAgQJ6U1MVXOaj8PK2l7WJ3RER9xtqwdhxkhw/edit?usp=sharing"",""ราชบุรี!I530"")"),76)</f>
        <v>76</v>
      </c>
      <c r="J635" s="504">
        <f ca="1">IFERROR(__xludf.DUMMYFUNCTION("IMPORTRANGE(""https://docs.google.com/spreadsheets/d/1SX6NBoVAgQJ6U1MVXOaj8PK2l7WJ3RER9xtqwdhxkhw/edit?usp=sharing"",""ราชบุรี!J530"")"),36)</f>
        <v>36</v>
      </c>
      <c r="K635" s="486">
        <f t="shared" ca="1" si="129"/>
        <v>47.368421052631582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1520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1520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1520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IFERROR(__xludf.DUMMYFUNCTION("IMPORTRANGE(""https://docs.google.com/spreadsheets/d/1SX6NBoVAgQJ6U1MVXOaj8PK2l7WJ3RER9xtqwdhxkhw/edit#gid=346597447"",""ราชบุรี!J541"")"),0)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IFERROR(__xludf.DUMMYFUNCTION("IMPORTRANGE(""https://docs.google.com/spreadsheets/d/1SX6NBoVAgQJ6U1MVXOaj8PK2l7WJ3RER9xtqwdhxkhw/edit#gid=346597447"",""ราชบุรี!J542"")"),0)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IFERROR(__xludf.DUMMYFUNCTION("IMPORTRANGE(""https://docs.google.com/spreadsheets/d/1SX6NBoVAgQJ6U1MVXOaj8PK2l7WJ3RER9xtqwdhxkhw/edit#gid=346597447"",""ราชบุรี!I543"")"),16)</f>
        <v>16</v>
      </c>
      <c r="J648" s="536">
        <f ca="1">IFERROR(__xludf.DUMMYFUNCTION("IMPORTRANGE(""https://docs.google.com/spreadsheets/d/1SX6NBoVAgQJ6U1MVXOaj8PK2l7WJ3RER9xtqwdhxkhw/edit#gid=346597447"",""ราชบุรี!J543"")"),0)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IFERROR(__xludf.DUMMYFUNCTION("IMPORTRANGE(""https://docs.google.com/spreadsheets/d/1SX6NBoVAgQJ6U1MVXOaj8PK2l7WJ3RER9xtqwdhxkhw/edit#gid=346597447"",""ราชบุรี!L543"")"),1280)</f>
        <v>1280</v>
      </c>
      <c r="M648" s="521"/>
      <c r="N648" s="538">
        <f ca="1">IFERROR(__xludf.DUMMYFUNCTION("IMPORTRANGE(""https://docs.google.com/spreadsheets/d/1SX6NBoVAgQJ6U1MVXOaj8PK2l7WJ3RER9xtqwdhxkhw/edit#gid=346597447"",""ราชบุรี!M543"")"),0)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IFERROR(__xludf.DUMMYFUNCTION("IMPORTRANGE(""https://docs.google.com/spreadsheets/d/1SX6NBoVAgQJ6U1MVXOaj8PK2l7WJ3RER9xtqwdhxkhw/edit#gid=346597447"",""ราชบุรี!I544"")"),2)</f>
        <v>2</v>
      </c>
      <c r="J649" s="536">
        <f ca="1">IFERROR(__xludf.DUMMYFUNCTION("IMPORTRANGE(""https://docs.google.com/spreadsheets/d/1SX6NBoVAgQJ6U1MVXOaj8PK2l7WJ3RER9xtqwdhxkhw/edit#gid=346597447"",""ราชบุรี!J544"")"),0)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IFERROR(__xludf.DUMMYFUNCTION("IMPORTRANGE(""https://docs.google.com/spreadsheets/d/1SX6NBoVAgQJ6U1MVXOaj8PK2l7WJ3RER9xtqwdhxkhw/edit#gid=346597447"",""ราชบุรี!L544"")"),240)</f>
        <v>240</v>
      </c>
      <c r="M649" s="521"/>
      <c r="N649" s="538">
        <f ca="1">IFERROR(__xludf.DUMMYFUNCTION("IMPORTRANGE(""https://docs.google.com/spreadsheets/d/1SX6NBoVAgQJ6U1MVXOaj8PK2l7WJ3RER9xtqwdhxkhw/edit#gid=346597447"",""ราชบุรี!M544"")"),0)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IFERROR(__xludf.DUMMYFUNCTION("IMPORTRANGE(""https://docs.google.com/spreadsheets/d/1SX6NBoVAgQJ6U1MVXOaj8PK2l7WJ3RER9xtqwdhxkhw/edit#gid=346597447"",""ราชบุรี!I545"")"),0)</f>
        <v>0</v>
      </c>
      <c r="J650" s="536">
        <f ca="1">IFERROR(__xludf.DUMMYFUNCTION("IMPORTRANGE(""https://docs.google.com/spreadsheets/d/1SX6NBoVAgQJ6U1MVXOaj8PK2l7WJ3RER9xtqwdhxkhw/edit#gid=346597447"",""ราชบุรี!J545"")"),0)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IFERROR(__xludf.DUMMYFUNCTION("IMPORTRANGE(""https://docs.google.com/spreadsheets/d/1SX6NBoVAgQJ6U1MVXOaj8PK2l7WJ3RER9xtqwdhxkhw/edit#gid=346597447"",""ราชบุรี!L545"")"),0)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IFERROR(__xludf.DUMMYFUNCTION("IMPORTRANGE(""https://docs.google.com/spreadsheets/d/1SX6NBoVAgQJ6U1MVXOaj8PK2l7WJ3RER9xtqwdhxkhw/edit#gid=346597447"",""ราชบุรี!M545"")"),0)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IFERROR(__xludf.DUMMYFUNCTION("IMPORTRANGE(""https://docs.google.com/spreadsheets/d/1SX6NBoVAgQJ6U1MVXOaj8PK2l7WJ3RER9xtqwdhxkhw/edit#gid=346597447"",""ราชบุรี!I546"")"),0)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IFERROR(__xludf.DUMMYFUNCTION("IMPORTRANGE(""https://docs.google.com/spreadsheets/d/1SX6NBoVAgQJ6U1MVXOaj8PK2l7WJ3RER9xtqwdhxkhw/edit#gid=346597447"",""ราชบุรี!L546"")"),0)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IFERROR(__xludf.DUMMYFUNCTION("IMPORTRANGE(""https://docs.google.com/spreadsheets/d/1SX6NBoVAgQJ6U1MVXOaj8PK2l7WJ3RER9xtqwdhxkhw/edit#gid=346597447"",""ราชบุรี!M546"")"),0)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IFERROR(__xludf.DUMMYFUNCTION("IMPORTRANGE(""https://docs.google.com/spreadsheets/d/1SX6NBoVAgQJ6U1MVXOaj8PK2l7WJ3RER9xtqwdhxkhw/edit#gid=346597447"",""ราชบุรี!J547"")"),0)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IFERROR(__xludf.DUMMYFUNCTION("IMPORTRANGE(""https://docs.google.com/spreadsheets/d/1SX6NBoVAgQJ6U1MVXOaj8PK2l7WJ3RER9xtqwdhxkhw/edit#gid=346597447"",""ราชบุรี!J548"")"),0)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IFERROR(__xludf.DUMMYFUNCTION("IMPORTRANGE(""https://docs.google.com/spreadsheets/d/1SX6NBoVAgQJ6U1MVXOaj8PK2l7WJ3RER9xtqwdhxkhw/edit#gid=346597447"",""ราชบุรี!J550"")"),0)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IFERROR(__xludf.DUMMYFUNCTION("IMPORTRANGE(""https://docs.google.com/spreadsheets/d/1SX6NBoVAgQJ6U1MVXOaj8PK2l7WJ3RER9xtqwdhxkhw/edit#gid=346597447"",""ราชบุรี!J551"")"),0)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IFERROR(__xludf.DUMMYFUNCTION("IMPORTRANGE(""https://docs.google.com/spreadsheets/d/1SX6NBoVAgQJ6U1MVXOaj8PK2l7WJ3RER9xtqwdhxkhw/edit#gid=346597447"",""ราชบุรี!J552"")"),0)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IFERROR(__xludf.DUMMYFUNCTION("IMPORTRANGE(""https://docs.google.com/spreadsheets/d/1SX6NBoVAgQJ6U1MVXOaj8PK2l7WJ3RER9xtqwdhxkhw/edit#gid=346597447"",""ราชบุรี!J553"")"),0)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IFERROR(__xludf.DUMMYFUNCTION("IMPORTRANGE(""https://docs.google.com/spreadsheets/d/1SX6NBoVAgQJ6U1MVXOaj8PK2l7WJ3RER9xtqwdhxkhw/edit#gid=346597447"",""ราชบุรี!J554"")"),0)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IFERROR(__xludf.DUMMYFUNCTION("IMPORTRANGE(""https://docs.google.com/spreadsheets/d/1SX6NBoVAgQJ6U1MVXOaj8PK2l7WJ3RER9xtqwdhxkhw/edit#gid=346597447"",""ราชบุรี!J555"")"),0)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IFERROR(__xludf.DUMMYFUNCTION("IMPORTRANGE(""https://docs.google.com/spreadsheets/d/1SX6NBoVAgQJ6U1MVXOaj8PK2l7WJ3RER9xtqwdhxkhw/edit#gid=346597447"",""ราชบุรี!J556"")"),0)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IFERROR(__xludf.DUMMYFUNCTION("IMPORTRANGE(""https://docs.google.com/spreadsheets/d/1SX6NBoVAgQJ6U1MVXOaj8PK2l7WJ3RER9xtqwdhxkhw/edit#gid=346597447"",""ราชบุรี!L556"")"),0)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IFERROR(__xludf.DUMMYFUNCTION("IMPORTRANGE(""https://docs.google.com/spreadsheets/d/1SX6NBoVAgQJ6U1MVXOaj8PK2l7WJ3RER9xtqwdhxkhw/edit#gid=346597447"",""ราชบุรี!M556"")"),0)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IFERROR(__xludf.DUMMYFUNCTION("IMPORTRANGE(""https://docs.google.com/spreadsheets/d/1SX6NBoVAgQJ6U1MVXOaj8PK2l7WJ3RER9xtqwdhxkhw/edit#gid=346597447"",""ราชบุรี!J557"")"),0)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IFERROR(__xludf.DUMMYFUNCTION("IMPORTRANGE(""https://docs.google.com/spreadsheets/d/1SX6NBoVAgQJ6U1MVXOaj8PK2l7WJ3RER9xtqwdhxkhw/edit#gid=346597447"",""ราชบุรี!I558"")"),0)</f>
        <v>0</v>
      </c>
      <c r="J663" s="536">
        <f ca="1">IFERROR(__xludf.DUMMYFUNCTION("IMPORTRANGE(""https://docs.google.com/spreadsheets/d/1SX6NBoVAgQJ6U1MVXOaj8PK2l7WJ3RER9xtqwdhxkhw/edit#gid=346597447"",""ราชบุรี!J558"")"),0)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IFERROR(__xludf.DUMMYFUNCTION("IMPORTRANGE(""https://docs.google.com/spreadsheets/d/1SX6NBoVAgQJ6U1MVXOaj8PK2l7WJ3RER9xtqwdhxkhw/edit#gid=346597447"",""ราชบุรี!I560"")"),0)</f>
        <v>0</v>
      </c>
      <c r="J665" s="536">
        <f ca="1">IFERROR(__xludf.DUMMYFUNCTION("IMPORTRANGE(""https://docs.google.com/spreadsheets/d/1SX6NBoVAgQJ6U1MVXOaj8PK2l7WJ3RER9xtqwdhxkhw/edit#gid=346597447"",""ราชบุรี!J560"")"),0)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IFERROR(__xludf.DUMMYFUNCTION("IMPORTRANGE(""https://docs.google.com/spreadsheets/d/1SX6NBoVAgQJ6U1MVXOaj8PK2l7WJ3RER9xtqwdhxkhw/edit#gid=346597447"",""ราชบุรี!L560"")"),0)</f>
        <v>0</v>
      </c>
      <c r="M665" s="521"/>
      <c r="N665" s="538">
        <f ca="1">IFERROR(__xludf.DUMMYFUNCTION("IMPORTRANGE(""https://docs.google.com/spreadsheets/d/1SX6NBoVAgQJ6U1MVXOaj8PK2l7WJ3RER9xtqwdhxkhw/edit#gid=346597447"",""ราชบุรี!M560"")"),0)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IFERROR(__xludf.DUMMYFUNCTION("IMPORTRANGE(""https://docs.google.com/spreadsheets/d/1SX6NBoVAgQJ6U1MVXOaj8PK2l7WJ3RER9xtqwdhxkhw/edit#gid=346597447"",""ราชบุรี!J561"")"),0)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IFERROR(__xludf.DUMMYFUNCTION("IMPORTRANGE(""https://docs.google.com/spreadsheets/d/1SX6NBoVAgQJ6U1MVXOaj8PK2l7WJ3RER9xtqwdhxkhw/edit#gid=346597447"",""ราชบุรี!J562"")"),0)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IFERROR(__xludf.DUMMYFUNCTION("IMPORTRANGE(""https://docs.google.com/spreadsheets/d/1SX6NBoVAgQJ6U1MVXOaj8PK2l7WJ3RER9xtqwdhxkhw/edit#gid=346597447"",""ราชบุรี!I563"")"),0)</f>
        <v>0</v>
      </c>
      <c r="J668" s="536">
        <f ca="1">IFERROR(__xludf.DUMMYFUNCTION("IMPORTRANGE(""https://docs.google.com/spreadsheets/d/1SX6NBoVAgQJ6U1MVXOaj8PK2l7WJ3RER9xtqwdhxkhw/edit#gid=346597447"",""ราชบุรี!J563"")"),0)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IFERROR(__xludf.DUMMYFUNCTION("IMPORTRANGE(""https://docs.google.com/spreadsheets/d/1SX6NBoVAgQJ6U1MVXOaj8PK2l7WJ3RER9xtqwdhxkhw/edit#gid=346597447"",""ราชบุรี!L563"")"),0)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IFERROR(__xludf.DUMMYFUNCTION("IMPORTRANGE(""https://docs.google.com/spreadsheets/d/1SX6NBoVAgQJ6U1MVXOaj8PK2l7WJ3RER9xtqwdhxkhw/edit#gid=346597447"",""ราชบุรี!M563"")"),0)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IFERROR(__xludf.DUMMYFUNCTION("IMPORTRANGE(""https://docs.google.com/spreadsheets/d/1SX6NBoVAgQJ6U1MVXOaj8PK2l7WJ3RER9xtqwdhxkhw/edit#gid=346597447"",""ราชบุรี!J564"")"),0)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IFERROR(__xludf.DUMMYFUNCTION("IMPORTRANGE(""https://docs.google.com/spreadsheets/d/1SX6NBoVAgQJ6U1MVXOaj8PK2l7WJ3RER9xtqwdhxkhw/edit#gid=346597447"",""ราชบุรี!J565"")"),0)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IFERROR(__xludf.DUMMYFUNCTION("IMPORTRANGE(""https://docs.google.com/spreadsheets/d/1SX6NBoVAgQJ6U1MVXOaj8PK2l7WJ3RER9xtqwdhxkhw/edit#gid=346597447"",""ราชบุรี!I566"")"),0)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IFERROR(__xludf.DUMMYFUNCTION("IMPORTRANGE(""https://docs.google.com/spreadsheets/d/1SX6NBoVAgQJ6U1MVXOaj8PK2l7WJ3RER9xtqwdhxkhw/edit#gid=346597447"",""ราชบุรี!L566"")"),0)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IFERROR(__xludf.DUMMYFUNCTION("IMPORTRANGE(""https://docs.google.com/spreadsheets/d/1SX6NBoVAgQJ6U1MVXOaj8PK2l7WJ3RER9xtqwdhxkhw/edit#gid=346597447"",""ราชบุรี!M566"")"),0)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IFERROR(__xludf.DUMMYFUNCTION("IMPORTRANGE(""https://docs.google.com/spreadsheets/d/1SX6NBoVAgQJ6U1MVXOaj8PK2l7WJ3RER9xtqwdhxkhw/edit#gid=346597447"",""ราชบุรี!J567"")"),0)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IFERROR(__xludf.DUMMYFUNCTION("IMPORTRANGE(""https://docs.google.com/spreadsheets/d/1SX6NBoVAgQJ6U1MVXOaj8PK2l7WJ3RER9xtqwdhxkhw/edit#gid=346597447"",""ราชบุรี!J568"")"),0)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IFERROR(__xludf.DUMMYFUNCTION("IMPORTRANGE(""https://docs.google.com/spreadsheets/d/1SX6NBoVAgQJ6U1MVXOaj8PK2l7WJ3RER9xtqwdhxkhw/edit#gid=346597447"",""ราชบุรี!J569"")"),0)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IFERROR(__xludf.DUMMYFUNCTION("IMPORTRANGE(""https://docs.google.com/spreadsheets/d/1SX6NBoVAgQJ6U1MVXOaj8PK2l7WJ3RER9xtqwdhxkhw/edit#gid=346597447"",""ราชบุรี!J570"")"),0)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IFERROR(__xludf.DUMMYFUNCTION("IMPORTRANGE(""https://docs.google.com/spreadsheets/d/1SX6NBoVAgQJ6U1MVXOaj8PK2l7WJ3RER9xtqwdhxkhw/edit#gid=346597447"",""ราชบุรี!J571"")"),0)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IFERROR(__xludf.DUMMYFUNCTION("IMPORTRANGE(""https://docs.google.com/spreadsheets/d/1SX6NBoVAgQJ6U1MVXOaj8PK2l7WJ3RER9xtqwdhxkhw/edit#gid=346597447"",""ราชบุรี!J572"")"),0)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G4" sqref="G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12180766</v>
      </c>
      <c r="M8" s="23">
        <f t="shared" ca="1" si="0"/>
        <v>8803310</v>
      </c>
      <c r="N8" s="23">
        <f t="shared" ca="1" si="0"/>
        <v>8093561.5</v>
      </c>
      <c r="O8" s="22">
        <f t="shared" ref="O8:O16" ca="1" si="1">IF(L8&gt;0,N8*100/L8,0)</f>
        <v>66.44542305467489</v>
      </c>
      <c r="P8" s="22">
        <f t="shared" ref="P8:P16" ca="1" si="2">IF(M8&gt;0,N8*100/M8,0)</f>
        <v>91.937708657311859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12180766</v>
      </c>
      <c r="M10" s="30">
        <f t="shared" ca="1" si="4"/>
        <v>8803310</v>
      </c>
      <c r="N10" s="30">
        <f t="shared" ca="1" si="4"/>
        <v>8093561.5</v>
      </c>
      <c r="O10" s="29">
        <f t="shared" ca="1" si="1"/>
        <v>66.44542305467489</v>
      </c>
      <c r="P10" s="29">
        <f t="shared" ca="1" si="2"/>
        <v>91.937708657311859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7180766</v>
      </c>
      <c r="M12" s="38">
        <f t="shared" ca="1" si="6"/>
        <v>3803310</v>
      </c>
      <c r="N12" s="38">
        <f t="shared" ca="1" si="6"/>
        <v>3893561.5</v>
      </c>
      <c r="O12" s="38">
        <f t="shared" ca="1" si="1"/>
        <v>54.222091347914692</v>
      </c>
      <c r="P12" s="38">
        <f t="shared" ca="1" si="2"/>
        <v>102.37297248975234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4832066</v>
      </c>
      <c r="M14" s="38">
        <f t="shared" si="8"/>
        <v>0</v>
      </c>
      <c r="N14" s="38">
        <f t="shared" ca="1" si="8"/>
        <v>807460.15</v>
      </c>
      <c r="O14" s="38">
        <f t="shared" ca="1" si="1"/>
        <v>16.71045366516103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5000000</v>
      </c>
      <c r="M16" s="38">
        <f t="shared" ca="1" si="10"/>
        <v>5000000</v>
      </c>
      <c r="N16" s="38">
        <f t="shared" ca="1" si="10"/>
        <v>4200000</v>
      </c>
      <c r="O16" s="49">
        <f t="shared" ca="1" si="1"/>
        <v>84</v>
      </c>
      <c r="P16" s="49">
        <f t="shared" ca="1" si="2"/>
        <v>84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9625065</v>
      </c>
      <c r="M18" s="23">
        <f t="shared" ca="1" si="11"/>
        <v>8803310</v>
      </c>
      <c r="N18" s="23">
        <f t="shared" ca="1" si="11"/>
        <v>7286101.3499999996</v>
      </c>
      <c r="O18" s="22">
        <f t="shared" ref="O18:O20" ca="1" si="12">IF(L18&gt;0,N18*100/L18,0)</f>
        <v>75.699243070046805</v>
      </c>
      <c r="P18" s="22">
        <f t="shared" ref="P18:P26" ca="1" si="13">IF(M18&gt;0,N18*100/M18,0)</f>
        <v>82.765475145144265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9625065</v>
      </c>
      <c r="M20" s="30">
        <f t="shared" ca="1" si="15"/>
        <v>8803310</v>
      </c>
      <c r="N20" s="30">
        <f t="shared" ca="1" si="15"/>
        <v>7286101.3499999996</v>
      </c>
      <c r="O20" s="29">
        <f t="shared" ca="1" si="12"/>
        <v>75.699243070046805</v>
      </c>
      <c r="P20" s="29">
        <f t="shared" ca="1" si="13"/>
        <v>82.765475145144265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4625065</v>
      </c>
      <c r="M22" s="41">
        <f t="shared" ca="1" si="18"/>
        <v>3803310</v>
      </c>
      <c r="N22" s="38">
        <f t="shared" ca="1" si="18"/>
        <v>3086101.35</v>
      </c>
      <c r="O22" s="38">
        <f t="shared" ca="1" si="17"/>
        <v>66.725577910796929</v>
      </c>
      <c r="P22" s="38">
        <f t="shared" ca="1" si="13"/>
        <v>81.142514020681986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2276365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5000000</v>
      </c>
      <c r="M26" s="49">
        <f t="shared" ca="1" si="22"/>
        <v>5000000</v>
      </c>
      <c r="N26" s="49">
        <f t="shared" ca="1" si="22"/>
        <v>4200000</v>
      </c>
      <c r="O26" s="49">
        <f t="shared" ca="1" si="17"/>
        <v>84</v>
      </c>
      <c r="P26" s="49">
        <f t="shared" ca="1" si="13"/>
        <v>84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2555701</v>
      </c>
      <c r="M28" s="23">
        <f t="shared" si="23"/>
        <v>0</v>
      </c>
      <c r="N28" s="23">
        <f t="shared" ca="1" si="23"/>
        <v>807460.15</v>
      </c>
      <c r="O28" s="22">
        <f t="shared" ref="O28:O30" ca="1" si="24">IF(L28&gt;0,N28*100/L28,0)</f>
        <v>31.594468601765229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2555701</v>
      </c>
      <c r="M30" s="30">
        <f t="shared" si="27"/>
        <v>0</v>
      </c>
      <c r="N30" s="30">
        <f t="shared" ca="1" si="27"/>
        <v>807460.15</v>
      </c>
      <c r="O30" s="29">
        <f t="shared" ca="1" si="24"/>
        <v>31.594468601765229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2555701</v>
      </c>
      <c r="M32" s="38">
        <f t="shared" si="30"/>
        <v>0</v>
      </c>
      <c r="N32" s="38">
        <f t="shared" ca="1" si="30"/>
        <v>807460.15</v>
      </c>
      <c r="O32" s="38">
        <f t="shared" ca="1" si="29"/>
        <v>31.594468601765229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2555701</v>
      </c>
      <c r="M34" s="38">
        <f t="shared" si="32"/>
        <v>0</v>
      </c>
      <c r="N34" s="38">
        <f t="shared" ca="1" si="32"/>
        <v>807460.15</v>
      </c>
      <c r="O34" s="38">
        <f t="shared" ca="1" si="29"/>
        <v>31.594468601765229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9625065</v>
      </c>
      <c r="M37" s="54">
        <f t="shared" ca="1" si="33"/>
        <v>8803310</v>
      </c>
      <c r="N37" s="54">
        <f t="shared" ca="1" si="33"/>
        <v>7286101.3499999996</v>
      </c>
      <c r="O37" s="55">
        <f t="shared" ca="1" si="29"/>
        <v>75.699243070046805</v>
      </c>
      <c r="P37" s="55">
        <f t="shared" ca="1" si="25"/>
        <v>82.765475145144265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804100</v>
      </c>
      <c r="M41" s="78">
        <f t="shared" ca="1" si="34"/>
        <v>603100</v>
      </c>
      <c r="N41" s="78">
        <f t="shared" ca="1" si="34"/>
        <v>481815.35</v>
      </c>
      <c r="O41" s="77">
        <f t="shared" ref="O41:O43" ca="1" si="35">IF(L41&gt;0,N41*100/L41,0)</f>
        <v>59.919829623181194</v>
      </c>
      <c r="P41" s="77">
        <f t="shared" ref="P41:P43" ca="1" si="36">IF(M41&gt;0,N41*100/M41,0)</f>
        <v>79.889794395622616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804100</v>
      </c>
      <c r="M43" s="78">
        <f t="shared" ca="1" si="38"/>
        <v>603100</v>
      </c>
      <c r="N43" s="78">
        <f t="shared" ca="1" si="38"/>
        <v>481815.35</v>
      </c>
      <c r="O43" s="77">
        <f t="shared" ca="1" si="35"/>
        <v>59.919829623181194</v>
      </c>
      <c r="P43" s="77">
        <f t="shared" ca="1" si="36"/>
        <v>79.889794395622616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IFERROR(__xludf.DUMMYFUNCTION("IMPORTRANGE(""https://docs.google.com/spreadsheets/d/1Yj_ptqi66GCucihVvJfMjLAmec39IyEx_6qawtMGysU/edit?usp=sharing"",""สบก!Q74"")"),603100)</f>
        <v>603100</v>
      </c>
      <c r="N45" s="49">
        <f ca="1">IFERROR(__xludf.DUMMYFUNCTION("IMPORTRANGE(""https://docs.google.com/spreadsheets/d/1Yj_ptqi66GCucihVvJfMjLAmec39IyEx_6qawtMGysU/edit?usp=sharing"",""สบก!R74"")"),481815.35)</f>
        <v>481815.35</v>
      </c>
      <c r="O45" s="38">
        <f ca="1">IF(L45&gt;0,N45*100/L45,0)</f>
        <v>59.919829623181194</v>
      </c>
      <c r="P45" s="38">
        <f ca="1">IF(M45&gt;0,N45*100/M45,0)</f>
        <v>79.889794395622616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IFERROR(__xludf.DUMMYFUNCTION("IMPORTRANGE(""https://docs.google.com/spreadsheets/d/1Yj_ptqi66GCucihVvJfMjLAmec39IyEx_6qawtMGysU/edit?usp=sharing"",""สบก!O74"")"),0)</f>
        <v>0</v>
      </c>
      <c r="M49" s="49"/>
      <c r="N49" s="49">
        <f ca="1">IFERROR(__xludf.DUMMYFUNCTION("IMPORTRANGE(""https://docs.google.com/spreadsheets/d/1Yj_ptqi66GCucihVvJfMjLAmec39IyEx_6qawtMGysU/edit?usp=sharing"",""สบก!S74"")"),0)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468020</v>
      </c>
      <c r="N53" s="121">
        <f t="shared" ca="1" si="39"/>
        <v>420732</v>
      </c>
      <c r="O53" s="120">
        <f t="shared" ref="O53:O55" ca="1" si="40">IF(L53&gt;0,N53*100/L53,0)</f>
        <v>69.54247933884298</v>
      </c>
      <c r="P53" s="120">
        <f t="shared" ref="P53:P55" ca="1" si="41">IF(M53&gt;0,N53*100/M53,0)</f>
        <v>89.896158283834026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468020</v>
      </c>
      <c r="N55" s="121">
        <f t="shared" ca="1" si="43"/>
        <v>420732</v>
      </c>
      <c r="O55" s="120">
        <f t="shared" ca="1" si="40"/>
        <v>69.54247933884298</v>
      </c>
      <c r="P55" s="120">
        <f t="shared" ca="1" si="41"/>
        <v>89.896158283834026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IFERROR(__xludf.DUMMYFUNCTION("IMPORTRANGE(""https://docs.google.com/spreadsheets/d/1Yj_ptqi66GCucihVvJfMjLAmec39IyEx_6qawtMGysU/edit?usp=sharing"",""สบก!Z74"")"),468020)</f>
        <v>468020</v>
      </c>
      <c r="N57" s="49">
        <f ca="1">IFERROR(__xludf.DUMMYFUNCTION("IMPORTRANGE(""https://docs.google.com/spreadsheets/d/1Yj_ptqi66GCucihVvJfMjLAmec39IyEx_6qawtMGysU/edit?usp=sharing"",""สบก!AA74"")"),420732)</f>
        <v>420732</v>
      </c>
      <c r="O57" s="38">
        <f ca="1">IF(L57&gt;0,N57*100/L57,0)</f>
        <v>69.54247933884298</v>
      </c>
      <c r="P57" s="38">
        <f ca="1">IF(M57&gt;0,N57*100/M57,0)</f>
        <v>89.896158283834026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6817200</v>
      </c>
      <c r="M66" s="152">
        <f t="shared" ca="1" si="45"/>
        <v>6591900</v>
      </c>
      <c r="N66" s="152">
        <f t="shared" ca="1" si="45"/>
        <v>5622723</v>
      </c>
      <c r="O66" s="151">
        <f t="shared" ref="O66:O68" ca="1" si="46">IF(L66&gt;0,N66*100/L66,0)</f>
        <v>82.478480901249782</v>
      </c>
      <c r="P66" s="151">
        <f t="shared" ref="P66:P68" ca="1" si="47">IF(M66&gt;0,N66*100/M66,0)</f>
        <v>85.297455968688851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6817200</v>
      </c>
      <c r="M68" s="157">
        <f t="shared" ca="1" si="49"/>
        <v>6591900</v>
      </c>
      <c r="N68" s="157">
        <f t="shared" ca="1" si="49"/>
        <v>5622723</v>
      </c>
      <c r="O68" s="156">
        <f t="shared" ca="1" si="46"/>
        <v>82.478480901249782</v>
      </c>
      <c r="P68" s="156">
        <f t="shared" ca="1" si="47"/>
        <v>85.297455968688851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1817200</v>
      </c>
      <c r="M70" s="168">
        <f ca="1">IFERROR(__xludf.DUMMYFUNCTION("IMPORTRANGE(""https://docs.google.com/spreadsheets/d/1Yj_ptqi66GCucihVvJfMjLAmec39IyEx_6qawtMGysU/edit?usp=sharing"",""สบก!AI74"")"),1591900)</f>
        <v>1591900</v>
      </c>
      <c r="N70" s="169">
        <f ca="1">IFERROR(__xludf.DUMMYFUNCTION("IMPORTRANGE(""https://docs.google.com/spreadsheets/d/1Yj_ptqi66GCucihVvJfMjLAmec39IyEx_6qawtMGysU/edit?usp=sharing"",""สบก!AJ74"")"),1422723)</f>
        <v>1422723</v>
      </c>
      <c r="O70" s="169">
        <f ca="1">IF(L70&gt;0,N70*100/L70,0)</f>
        <v>78.29204270305965</v>
      </c>
      <c r="P70" s="169">
        <f ca="1">IF(M70&gt;0,N70*100/M70,0)</f>
        <v>89.372636472140215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IFERROR(__xludf.DUMMYFUNCTION("IMPORTRANGE(""https://docs.google.com/spreadsheets/d/1Yj_ptqi66GCucihVvJfMjLAmec39IyEx_6qawtMGysU/edit?usp=sharing"",""สบก!AF74"")"),1378000)</f>
        <v>1378000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IFERROR(__xludf.DUMMYFUNCTION("IMPORTRANGE(""https://docs.google.com/spreadsheets/d/1Yj_ptqi66GCucihVvJfMjLAmec39IyEx_6qawtMGysU/edit?usp=sharing"",""สบก!AG74"")"),5000000)</f>
        <v>5000000</v>
      </c>
      <c r="M74" s="49">
        <f ca="1">L74</f>
        <v>5000000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84</v>
      </c>
      <c r="P74" s="49">
        <f ca="1">IF(M74&gt;0,N74*100/M74,0)</f>
        <v>84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IFERROR(__xludf.DUMMYFUNCTION("IMPORTRANGE(""https://docs.google.com/spreadsheets/d/1SX6NBoVAgQJ6U1MVXOaj8PK2l7WJ3RER9xtqwdhxkhw/edit?usp=sharing"",""ลพบุรี!I28"")"),80)</f>
        <v>80</v>
      </c>
      <c r="J88" s="204">
        <f ca="1">IFERROR(__xludf.DUMMYFUNCTION("IMPORTRANGE(""https://docs.google.com/spreadsheets/d/1SX6NBoVAgQJ6U1MVXOaj8PK2l7WJ3RER9xtqwdhxkhw/edit?usp=sharing"",""ลพบุรี!J28"")"),100)</f>
        <v>100</v>
      </c>
      <c r="K88" s="163">
        <f t="shared" ca="1" si="50"/>
        <v>125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IFERROR(__xludf.DUMMYFUNCTION("IMPORTRANGE(""https://docs.google.com/spreadsheets/d/1SX6NBoVAgQJ6U1MVXOaj8PK2l7WJ3RER9xtqwdhxkhw/edit?usp=sharing"",""ลพบุรี!J50"")"),0)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18824</v>
      </c>
      <c r="O118" s="151">
        <f t="shared" ref="O118:O120" ca="1" si="59">IF(L118&gt;0,N118*100/L118,0)</f>
        <v>29.009092310063185</v>
      </c>
      <c r="P118" s="151">
        <f t="shared" ref="P118:P120" ca="1" si="60">IF(M118&gt;0,N118*100/M118,0)</f>
        <v>29.009092310063185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18824</v>
      </c>
      <c r="O120" s="156">
        <f t="shared" ca="1" si="59"/>
        <v>29.009092310063185</v>
      </c>
      <c r="P120" s="156">
        <f t="shared" ca="1" si="60"/>
        <v>29.009092310063185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IFERROR(__xludf.DUMMYFUNCTION("IMPORTRANGE(""https://docs.google.com/spreadsheets/d/1Yj_ptqi66GCucihVvJfMjLAmec39IyEx_6qawtMGysU/edit?usp=sharing"",""สบก!BA74"")"),64890)</f>
        <v>64890</v>
      </c>
      <c r="N122" s="169">
        <f ca="1">IFERROR(__xludf.DUMMYFUNCTION("IMPORTRANGE(""https://docs.google.com/spreadsheets/d/1Yj_ptqi66GCucihVvJfMjLAmec39IyEx_6qawtMGysU/edit?usp=sharing"",""สบก!BB74"")"),18824)</f>
        <v>18824</v>
      </c>
      <c r="O122" s="169">
        <f ca="1">IF(L122&gt;0,N122*100/L122,0)</f>
        <v>29.009092310063185</v>
      </c>
      <c r="P122" s="169">
        <f ca="1">IF(M122&gt;0,N122*100/M122,0)</f>
        <v>29.009092310063185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IFERROR(__xludf.DUMMYFUNCTION("IMPORTRANGE(""https://docs.google.com/spreadsheets/d/1Yj_ptqi66GCucihVvJfMjLAmec39IyEx_6qawtMGysU/edit?usp=sharing"",""สบก!AX74"")"),64890)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291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IFERROR(__xludf.DUMMYFUNCTION("IMPORTRANGE(""https://docs.google.com/spreadsheets/d/1SX6NBoVAgQJ6U1MVXOaj8PK2l7WJ3RER9xtqwdhxkhw/edit?usp=sharing"",""ลพบุรี!J65"")"),0)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IFERROR(__xludf.DUMMYFUNCTION("IMPORTRANGE(""https://docs.google.com/spreadsheets/d/1SX6NBoVAgQJ6U1MVXOaj8PK2l7WJ3RER9xtqwdhxkhw/edit?usp=sharing"",""ลพบุรี!I68"")"),0)</f>
        <v>0</v>
      </c>
      <c r="J138" s="267">
        <f ca="1">IFERROR(__xludf.DUMMYFUNCTION("IMPORTRANGE(""https://docs.google.com/spreadsheets/d/1SX6NBoVAgQJ6U1MVXOaj8PK2l7WJ3RER9xtqwdhxkhw/edit?usp=sharing"",""ลพบุรี!J68"")"),0)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69625</v>
      </c>
      <c r="N140" s="152">
        <f t="shared" ca="1" si="64"/>
        <v>64404</v>
      </c>
      <c r="O140" s="151">
        <f t="shared" ref="O140:O142" ca="1" si="65">IF(L140&gt;0,N140*100/L140,0)</f>
        <v>66.055384615384611</v>
      </c>
      <c r="P140" s="151">
        <f t="shared" ref="P140:P142" ca="1" si="66">IF(M140&gt;0,N140*100/M140,0)</f>
        <v>92.501256732495506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69625</v>
      </c>
      <c r="N142" s="157">
        <f t="shared" ca="1" si="68"/>
        <v>64404</v>
      </c>
      <c r="O142" s="156">
        <f t="shared" ca="1" si="65"/>
        <v>66.055384615384611</v>
      </c>
      <c r="P142" s="156">
        <f t="shared" ca="1" si="66"/>
        <v>92.501256732495506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168">
        <f ca="1">IFERROR(__xludf.DUMMYFUNCTION("IMPORTRANGE(""https://docs.google.com/spreadsheets/d/1Yj_ptqi66GCucihVvJfMjLAmec39IyEx_6qawtMGysU/edit?usp=sharing"",""สบก!BJ74"")"),69625)</f>
        <v>69625</v>
      </c>
      <c r="N144" s="169">
        <f ca="1">IFERROR(__xludf.DUMMYFUNCTION("IMPORTRANGE(""https://docs.google.com/spreadsheets/d/1Yj_ptqi66GCucihVvJfMjLAmec39IyEx_6qawtMGysU/edit?usp=sharing"",""สบก!BK74"")"),64404)</f>
        <v>64404</v>
      </c>
      <c r="O144" s="169">
        <f ca="1">IF(L144&gt;0,N144*100/L144,0)</f>
        <v>66.055384615384611</v>
      </c>
      <c r="P144" s="169">
        <f ca="1">IF(M144&gt;0,N144*100/M144,0)</f>
        <v>92.501256732495506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IFERROR(__xludf.DUMMYFUNCTION("IMPORTRANGE(""https://docs.google.com/spreadsheets/d/1Yj_ptqi66GCucihVvJfMjLAmec39IyEx_6qawtMGysU/edit?usp=sharing"",""สบก!BG74"")"),97500)</f>
        <v>97500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IFERROR(__xludf.DUMMYFUNCTION("IMPORTRANGE(""https://docs.google.com/spreadsheets/d/1SX6NBoVAgQJ6U1MVXOaj8PK2l7WJ3RER9xtqwdhxkhw/edit?usp=sharing"",""ลพบุรี!I74"")"),4)</f>
        <v>4</v>
      </c>
      <c r="J149" s="275">
        <f ca="1">IFERROR(__xludf.DUMMYFUNCTION("IMPORTRANGE(""https://docs.google.com/spreadsheets/d/1SX6NBoVAgQJ6U1MVXOaj8PK2l7WJ3RER9xtqwdhxkhw/edit?usp=sharing"",""ลพบุรี!J74"")"),2)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IFERROR(__xludf.DUMMYFUNCTION("IMPORTRANGE(""https://docs.google.com/spreadsheets/d/1SX6NBoVAgQJ6U1MVXOaj8PK2l7WJ3RER9xtqwdhxkhw/edit?usp=sharing"",""ลพบุรี!J85"")"),32)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IFERROR(__xludf.DUMMYFUNCTION("IMPORTRANGE(""https://docs.google.com/spreadsheets/d/1SX6NBoVAgQJ6U1MVXOaj8PK2l7WJ3RER9xtqwdhxkhw/edit?usp=sharing"",""ลพบุรี!I89"")"),4)</f>
        <v>4</v>
      </c>
      <c r="J164" s="284">
        <f ca="1">IFERROR(__xludf.DUMMYFUNCTION("IMPORTRANGE(""https://docs.google.com/spreadsheets/d/1SX6NBoVAgQJ6U1MVXOaj8PK2l7WJ3RER9xtqwdhxkhw/edit?usp=sharing"",""ลพบุรี!J89"")"),4)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IFERROR(__xludf.DUMMYFUNCTION("IMPORTRANGE(""https://docs.google.com/spreadsheets/d/1SX6NBoVAgQJ6U1MVXOaj8PK2l7WJ3RER9xtqwdhxkhw/edit?usp=sharing"",""ลพบุรี!I101"")"),0)</f>
        <v>0</v>
      </c>
      <c r="J176" s="284">
        <f ca="1">IFERROR(__xludf.DUMMYFUNCTION("IMPORTRANGE(""https://docs.google.com/spreadsheets/d/1SX6NBoVAgQJ6U1MVXOaj8PK2l7WJ3RER9xtqwdhxkhw/edit?usp=sharing"",""ลพบุรี!J101"")"),0)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IFERROR(__xludf.DUMMYFUNCTION("IMPORTRANGE(""https://docs.google.com/spreadsheets/d/1SX6NBoVAgQJ6U1MVXOaj8PK2l7WJ3RER9xtqwdhxkhw/edit?usp=sharing"",""ลพบุรี!J113"")"),0)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IFERROR(__xludf.DUMMYFUNCTION("IMPORTRANGE(""https://docs.google.com/spreadsheets/d/1SX6NBoVAgQJ6U1MVXOaj8PK2l7WJ3RER9xtqwdhxkhw/edit?usp=sharing"",""ลพบุรี!I114"")"),100000)</f>
        <v>100000</v>
      </c>
      <c r="J189" s="284">
        <f ca="1">IFERROR(__xludf.DUMMYFUNCTION("IMPORTRANGE(""https://docs.google.com/spreadsheets/d/1SX6NBoVAgQJ6U1MVXOaj8PK2l7WJ3RER9xtqwdhxkhw/edit?usp=sharing"",""ลพบุรี!J114"")"),0)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IFERROR(__xludf.DUMMYFUNCTION("IMPORTRANGE(""https://docs.google.com/spreadsheets/d/1SX6NBoVAgQJ6U1MVXOaj8PK2l7WJ3RER9xtqwdhxkhw/edit?usp=sharing"",""ลพบุรี!J128"")"),0)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IFERROR(__xludf.DUMMYFUNCTION("IMPORTRANGE(""https://docs.google.com/spreadsheets/d/1SX6NBoVAgQJ6U1MVXOaj8PK2l7WJ3RER9xtqwdhxkhw/edit?usp=sharing"",""ลพบุรี!I129"")"),0)</f>
        <v>0</v>
      </c>
      <c r="J204" s="284">
        <f ca="1">IFERROR(__xludf.DUMMYFUNCTION("IMPORTRANGE(""https://docs.google.com/spreadsheets/d/1SX6NBoVAgQJ6U1MVXOaj8PK2l7WJ3RER9xtqwdhxkhw/edit?usp=sharing"",""ลพบุรี!J129"")"),0)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IFERROR(__xludf.DUMMYFUNCTION("IMPORTRANGE(""https://docs.google.com/spreadsheets/d/1SX6NBoVAgQJ6U1MVXOaj8PK2l7WJ3RER9xtqwdhxkhw/edit?usp=sharing"",""ลพบุรี!J143"")"),0)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IFERROR(__xludf.DUMMYFUNCTION("IMPORTRANGE(""https://docs.google.com/spreadsheets/d/1SX6NBoVAgQJ6U1MVXOaj8PK2l7WJ3RER9xtqwdhxkhw/edit?usp=sharing"",""ลพบุรี!I144"")"),15)</f>
        <v>15</v>
      </c>
      <c r="J219" s="267">
        <f ca="1">IFERROR(__xludf.DUMMYFUNCTION("IMPORTRANGE(""https://docs.google.com/spreadsheets/d/1SX6NBoVAgQJ6U1MVXOaj8PK2l7WJ3RER9xtqwdhxkhw/edit?usp=sharing"",""ลพบุรี!J144"")"),15)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IFERROR(__xludf.DUMMYFUNCTION("IMPORTRANGE(""https://docs.google.com/spreadsheets/d/1Yj_ptqi66GCucihVvJfMjLAmec39IyEx_6qawtMGysU/edit?usp=sharing"",""สบก!BS74"")"),21125)</f>
        <v>21125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IFERROR(__xludf.DUMMYFUNCTION("IMPORTRANGE(""https://docs.google.com/spreadsheets/d/1SX6NBoVAgQJ6U1MVXOaj8PK2l7WJ3RER9xtqwdhxkhw/edit?usp=sharing"",""ลพบุรี!I149"")"),15)</f>
        <v>15</v>
      </c>
      <c r="J229" s="267">
        <f ca="1">IFERROR(__xludf.DUMMYFUNCTION("IMPORTRANGE(""https://docs.google.com/spreadsheets/d/1SX6NBoVAgQJ6U1MVXOaj8PK2l7WJ3RER9xtqwdhxkhw/edit?usp=sharing"",""ลพบุรี!J149"")"),15)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IFERROR(__xludf.DUMMYFUNCTION("IMPORTRANGE(""https://docs.google.com/spreadsheets/d/1SX6NBoVAgQJ6U1MVXOaj8PK2l7WJ3RER9xtqwdhxkhw/edit?usp=sharing"",""ลพบุรี!I158"")"),0)</f>
        <v>0</v>
      </c>
      <c r="J238" s="267">
        <f ca="1">IFERROR(__xludf.DUMMYFUNCTION("IMPORTRANGE(""https://docs.google.com/spreadsheets/d/1SX6NBoVAgQJ6U1MVXOaj8PK2l7WJ3RER9xtqwdhxkhw/edit?usp=sharing"",""ลพบุรี!J158"")"),0)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IFERROR(__xludf.DUMMYFUNCTION("IMPORTRANGE(""https://docs.google.com/spreadsheets/d/1SX6NBoVAgQJ6U1MVXOaj8PK2l7WJ3RER9xtqwdhxkhw/edit?usp=sharing"",""ลพบุรี!J166"")"),0)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IFERROR(__xludf.DUMMYFUNCTION("IMPORTRANGE(""https://docs.google.com/spreadsheets/d/1SX6NBoVAgQJ6U1MVXOaj8PK2l7WJ3RER9xtqwdhxkhw/edit?usp=sharing"",""ลพบุรี!I169"")"),25)</f>
        <v>25</v>
      </c>
      <c r="J249" s="316">
        <f ca="1">IFERROR(__xludf.DUMMYFUNCTION("IMPORTRANGE(""https://docs.google.com/spreadsheets/d/1SX6NBoVAgQJ6U1MVXOaj8PK2l7WJ3RER9xtqwdhxkhw/edit?usp=sharing"",""ลพบุรี!J169"")"),25)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177500</v>
      </c>
      <c r="N250" s="152">
        <f t="shared" ca="1" si="77"/>
        <v>101900</v>
      </c>
      <c r="O250" s="151">
        <f t="shared" ref="O250:O252" ca="1" si="78">IF(L250&gt;0,N250*100/L250,0)</f>
        <v>51.077694235588972</v>
      </c>
      <c r="P250" s="151">
        <f t="shared" ref="P250:P252" ca="1" si="79">IF(M250&gt;0,N250*100/M250,0)</f>
        <v>57.408450704225352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177500</v>
      </c>
      <c r="N252" s="157">
        <f t="shared" ca="1" si="81"/>
        <v>101900</v>
      </c>
      <c r="O252" s="156">
        <f t="shared" ca="1" si="78"/>
        <v>51.077694235588972</v>
      </c>
      <c r="P252" s="156">
        <f t="shared" ca="1" si="79"/>
        <v>57.408450704225352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IFERROR(__xludf.DUMMYFUNCTION("IMPORTRANGE(""https://docs.google.com/spreadsheets/d/1Yj_ptqi66GCucihVvJfMjLAmec39IyEx_6qawtMGysU/edit?usp=sharing"",""สบก!CB74"")"),177500)</f>
        <v>177500</v>
      </c>
      <c r="N254" s="169">
        <f ca="1">IFERROR(__xludf.DUMMYFUNCTION("IMPORTRANGE(""https://docs.google.com/spreadsheets/d/1Yj_ptqi66GCucihVvJfMjLAmec39IyEx_6qawtMGysU/edit?usp=sharing"",""สบก!CC74"")"),101900)</f>
        <v>101900</v>
      </c>
      <c r="O254" s="169">
        <f ca="1">IF(L254&gt;0,N254*100/L254,0)</f>
        <v>51.077694235588972</v>
      </c>
      <c r="P254" s="169">
        <f ca="1">IF(M254&gt;0,N254*100/M254,0)</f>
        <v>57.408450704225352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IFERROR(__xludf.DUMMYFUNCTION("IMPORTRANGE(""https://docs.google.com/spreadsheets/d/1SX6NBoVAgQJ6U1MVXOaj8PK2l7WJ3RER9xtqwdhxkhw/edit?usp=sharing"",""ลพบุรี!J184"")"),0)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IFERROR(__xludf.DUMMYFUNCTION("IMPORTRANGE(""https://docs.google.com/spreadsheets/d/1SX6NBoVAgQJ6U1MVXOaj8PK2l7WJ3RER9xtqwdhxkhw/edit?usp=sharing"",""ลพบุรี!I185"")"),15)</f>
        <v>15</v>
      </c>
      <c r="J270" s="316">
        <f ca="1">IFERROR(__xludf.DUMMYFUNCTION("IMPORTRANGE(""https://docs.google.com/spreadsheets/d/1SX6NBoVAgQJ6U1MVXOaj8PK2l7WJ3RER9xtqwdhxkhw/edit?usp=sharing"",""ลพบุรี!J185"")"),15)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19780</v>
      </c>
      <c r="O271" s="151">
        <f t="shared" ref="O271:O273" ca="1" si="84">IF(L271&gt;0,N271*100/L271,0)</f>
        <v>35.833333333333336</v>
      </c>
      <c r="P271" s="151">
        <f t="shared" ref="P271:P273" ca="1" si="85">IF(M271&gt;0,N271*100/M271,0)</f>
        <v>61.333333333333336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19780</v>
      </c>
      <c r="O273" s="156">
        <f t="shared" ca="1" si="84"/>
        <v>35.833333333333336</v>
      </c>
      <c r="P273" s="156">
        <f t="shared" ca="1" si="85"/>
        <v>61.333333333333336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IFERROR(__xludf.DUMMYFUNCTION("IMPORTRANGE(""https://docs.google.com/spreadsheets/d/1Yj_ptqi66GCucihVvJfMjLAmec39IyEx_6qawtMGysU/edit?usp=sharing"",""สบก!CK74"")"),32250)</f>
        <v>32250</v>
      </c>
      <c r="N275" s="169">
        <f ca="1">IFERROR(__xludf.DUMMYFUNCTION("IMPORTRANGE(""https://docs.google.com/spreadsheets/d/1Yj_ptqi66GCucihVvJfMjLAmec39IyEx_6qawtMGysU/edit?usp=sharing"",""สบก!CL74"")"),19780)</f>
        <v>19780</v>
      </c>
      <c r="O275" s="169">
        <f ca="1">IF(L275&gt;0,N275*100/L275,0)</f>
        <v>35.833333333333336</v>
      </c>
      <c r="P275" s="169">
        <f ca="1">IF(M275&gt;0,N275*100/M275,0)</f>
        <v>61.333333333333336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IFERROR(__xludf.DUMMYFUNCTION("IMPORTRANGE(""https://docs.google.com/spreadsheets/d/1SX6NBoVAgQJ6U1MVXOaj8PK2l7WJ3RER9xtqwdhxkhw/edit?usp=sharing"",""ลพบุรี!J197"")"),0)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IFERROR(__xludf.DUMMYFUNCTION("IMPORTRANGE(""https://docs.google.com/spreadsheets/d/1SX6NBoVAgQJ6U1MVXOaj8PK2l7WJ3RER9xtqwdhxkhw/edit?usp=sharing"",""ลพบุรี!I199"")"),0)</f>
        <v>0</v>
      </c>
      <c r="J289" s="316">
        <f ca="1">IFERROR(__xludf.DUMMYFUNCTION("IMPORTRANGE(""https://docs.google.com/spreadsheets/d/1SX6NBoVAgQJ6U1MVXOaj8PK2l7WJ3RER9xtqwdhxkhw/edit?usp=sharing"",""ลพบุรี!J199"")"),0)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IFERROR(__xludf.DUMMYFUNCTION("IMPORTRANGE(""https://docs.google.com/spreadsheets/d/1SX6NBoVAgQJ6U1MVXOaj8PK2l7WJ3RER9xtqwdhxkhw/edit?usp=sharing"",""ลพบุรี!J213"")"),0)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IFERROR(__xludf.DUMMYFUNCTION("IMPORTRANGE(""https://docs.google.com/spreadsheets/d/1SX6NBoVAgQJ6U1MVXOaj8PK2l7WJ3RER9xtqwdhxkhw/edit?usp=sharing"",""ลพบุรี!I214"")"),0)</f>
        <v>0</v>
      </c>
      <c r="J309" s="333">
        <f ca="1">IFERROR(__xludf.DUMMYFUNCTION("IMPORTRANGE(""https://docs.google.com/spreadsheets/d/1SX6NBoVAgQJ6U1MVXOaj8PK2l7WJ3RER9xtqwdhxkhw/edit?usp=sharing"",""ลพบุรี!J214"")"),0)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IFERROR(__xludf.DUMMYFUNCTION("IMPORTRANGE(""https://docs.google.com/spreadsheets/d/1SX6NBoVAgQJ6U1MVXOaj8PK2l7WJ3RER9xtqwdhxkhw/edit?usp=sharing"",""ลพบุรี!J226"")"),0)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IFERROR(__xludf.DUMMYFUNCTION("IMPORTRANGE(""https://docs.google.com/spreadsheets/d/1SX6NBoVAgQJ6U1MVXOaj8PK2l7WJ3RER9xtqwdhxkhw/edit?usp=sharing"",""ลพบุรี!I228"")"),170)</f>
        <v>170</v>
      </c>
      <c r="J328" s="339">
        <f ca="1">IFERROR(__xludf.DUMMYFUNCTION("IMPORTRANGE(""https://docs.google.com/spreadsheets/d/1SX6NBoVAgQJ6U1MVXOaj8PK2l7WJ3RER9xtqwdhxkhw/edit?usp=sharing"",""ลพบุรี!J228"")"),74)</f>
        <v>74</v>
      </c>
      <c r="K328" s="317">
        <f ca="1">IF(I328&gt;0,J328*100/I328,0)</f>
        <v>43.529411764705884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960550</v>
      </c>
      <c r="M329" s="152">
        <f t="shared" ca="1" si="98"/>
        <v>774900</v>
      </c>
      <c r="N329" s="152">
        <f t="shared" ca="1" si="98"/>
        <v>534798</v>
      </c>
      <c r="O329" s="151">
        <f t="shared" ref="O329:O331" ca="1" si="99">IF(L329&gt;0,N329*100/L329,0)</f>
        <v>55.676227161522043</v>
      </c>
      <c r="P329" s="151">
        <f t="shared" ref="P329:P331" ca="1" si="100">IF(M329&gt;0,N329*100/M329,0)</f>
        <v>69.0150987224158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960550</v>
      </c>
      <c r="M331" s="157">
        <f t="shared" ca="1" si="102"/>
        <v>774900</v>
      </c>
      <c r="N331" s="157">
        <f t="shared" ca="1" si="102"/>
        <v>534798</v>
      </c>
      <c r="O331" s="156">
        <f t="shared" ca="1" si="99"/>
        <v>55.676227161522043</v>
      </c>
      <c r="P331" s="156">
        <f t="shared" ca="1" si="100"/>
        <v>69.0150987224158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960550</v>
      </c>
      <c r="M333" s="168">
        <f ca="1">IFERROR(__xludf.DUMMYFUNCTION("IMPORTRANGE(""https://docs.google.com/spreadsheets/d/1Yj_ptqi66GCucihVvJfMjLAmec39IyEx_6qawtMGysU/edit?usp=sharing"",""สบก!DL74"")"),774900)</f>
        <v>774900</v>
      </c>
      <c r="N333" s="169">
        <f ca="1">IFERROR(__xludf.DUMMYFUNCTION("IMPORTRANGE(""https://docs.google.com/spreadsheets/d/1Yj_ptqi66GCucihVvJfMjLAmec39IyEx_6qawtMGysU/edit?usp=sharing"",""สบก!DM74"")"),534798)</f>
        <v>534798</v>
      </c>
      <c r="O333" s="169">
        <f ca="1">IF(L333&gt;0,N333*100/L333,0)</f>
        <v>55.676227161522043</v>
      </c>
      <c r="P333" s="169">
        <f ca="1">IF(M333&gt;0,N333*100/M333,0)</f>
        <v>69.0150987224158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IFERROR(__xludf.DUMMYFUNCTION("IMPORTRANGE(""https://docs.google.com/spreadsheets/d/1Yj_ptqi66GCucihVvJfMjLAmec39IyEx_6qawtMGysU/edit?usp=sharing"",""สบก!DI74"")"),460150)</f>
        <v>460150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IFERROR(__xludf.DUMMYFUNCTION("IMPORTRANGE(""https://docs.google.com/spreadsheets/d/1SX6NBoVAgQJ6U1MVXOaj8PK2l7WJ3RER9xtqwdhxkhw/edit?usp=sharing"",""ลพบุรี!J234"")"),207)</f>
        <v>207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IFERROR(__xludf.DUMMYFUNCTION("IMPORTRANGE(""https://docs.google.com/spreadsheets/d/1SX6NBoVAgQJ6U1MVXOaj8PK2l7WJ3RER9xtqwdhxkhw/edit?usp=sharing"",""ลพบุรี!I235"")"),3250)</f>
        <v>3250</v>
      </c>
      <c r="J340" s="188">
        <f ca="1">IFERROR(__xludf.DUMMYFUNCTION("IMPORTRANGE(""https://docs.google.com/spreadsheets/d/1SX6NBoVAgQJ6U1MVXOaj8PK2l7WJ3RER9xtqwdhxkhw/edit?usp=sharing"",""ลพบุรี!J235"")"),2190.72)</f>
        <v>2190.7199999999998</v>
      </c>
      <c r="K340" s="342">
        <f t="shared" ca="1" si="103"/>
        <v>67.406769230769228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IFERROR(__xludf.DUMMYFUNCTION("IMPORTRANGE(""https://docs.google.com/spreadsheets/d/1SX6NBoVAgQJ6U1MVXOaj8PK2l7WJ3RER9xtqwdhxkhw/edit?usp=sharing"",""ลพบุรี!J236"")"),213)</f>
        <v>213</v>
      </c>
      <c r="K341" s="342">
        <f t="shared" ca="1" si="103"/>
        <v>125.29411764705883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IFERROR(__xludf.DUMMYFUNCTION("IMPORTRANGE(""https://docs.google.com/spreadsheets/d/1SX6NBoVAgQJ6U1MVXOaj8PK2l7WJ3RER9xtqwdhxkhw/edit?usp=sharing"",""ลพบุรี!J237"")"),2721.22)</f>
        <v>2721.22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IFERROR(__xludf.DUMMYFUNCTION("IMPORTRANGE(""https://docs.google.com/spreadsheets/d/1SX6NBoVAgQJ6U1MVXOaj8PK2l7WJ3RER9xtqwdhxkhw/edit?usp=sharing"",""ลพบุรี!J238"")"),36)</f>
        <v>36</v>
      </c>
      <c r="K343" s="342">
        <f t="shared" ca="1" si="103"/>
        <v>21.176470588235293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IFERROR(__xludf.DUMMYFUNCTION("IMPORTRANGE(""https://docs.google.com/spreadsheets/d/1SX6NBoVAgQJ6U1MVXOaj8PK2l7WJ3RER9xtqwdhxkhw/edit?usp=sharing"",""ลพบุรี!J239"")"),427.78)</f>
        <v>427.78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IFERROR(__xludf.DUMMYFUNCTION("IMPORTRANGE(""https://docs.google.com/spreadsheets/d/1SX6NBoVAgQJ6U1MVXOaj8PK2l7WJ3RER9xtqwdhxkhw/edit?usp=sharing"",""ลพบุรี!J240"")"),74)</f>
        <v>74</v>
      </c>
      <c r="K345" s="342">
        <f t="shared" ca="1" si="103"/>
        <v>43.529411764705884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IFERROR(__xludf.DUMMYFUNCTION("IMPORTRANGE(""https://docs.google.com/spreadsheets/d/1SX6NBoVAgQJ6U1MVXOaj8PK2l7WJ3RER9xtqwdhxkhw/edit?usp=sharing"",""ลพบุรี!J241"")"),1131)</f>
        <v>1131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IFERROR(__xludf.DUMMYFUNCTION("IMPORTRANGE(""https://docs.google.com/spreadsheets/d/1SX6NBoVAgQJ6U1MVXOaj8PK2l7WJ3RER9xtqwdhxkhw/edit?usp=sharing"",""ลพบุรี!L242"")"),2555701)</f>
        <v>2555701</v>
      </c>
      <c r="M347" s="358"/>
      <c r="N347" s="358">
        <f ca="1">IFERROR(__xludf.DUMMYFUNCTION("IMPORTRANGE(""https://docs.google.com/spreadsheets/d/1SX6NBoVAgQJ6U1MVXOaj8PK2l7WJ3RER9xtqwdhxkhw/edit?usp=sharing"",""ลพบุรี!M242"")"),807460.15)</f>
        <v>807460.15</v>
      </c>
      <c r="O347" s="358">
        <f ca="1">+IF(L347&gt;0,N347*100/L347,0)</f>
        <v>31.594468601765229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IFERROR(__xludf.DUMMYFUNCTION("IMPORTRANGE(""https://docs.google.com/spreadsheets/d/1SX6NBoVAgQJ6U1MVXOaj8PK2l7WJ3RER9xtqwdhxkhw/edit?usp=sharing"",""ลพบุรี!M244"")"),111118)</f>
        <v>111118</v>
      </c>
      <c r="O349" s="373">
        <f ca="1">+IF(L349&gt;0,N349*100/L349,0)</f>
        <v>38.427860008299902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IFERROR(__xludf.DUMMYFUNCTION("IMPORTRANGE(""https://docs.google.com/spreadsheets/d/1SX6NBoVAgQJ6U1MVXOaj8PK2l7WJ3RER9xtqwdhxkhw/edit?usp=sharing"",""ลพบุรี!M247"")"),111118)</f>
        <v>111118</v>
      </c>
      <c r="O352" s="165">
        <f t="shared" ca="1" si="105"/>
        <v>38.427860008299902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IFERROR(__xludf.DUMMYFUNCTION("IMPORTRANGE(""https://docs.google.com/spreadsheets/d/1SX6NBoVAgQJ6U1MVXOaj8PK2l7WJ3RER9xtqwdhxkhw/edit?usp=sharing"",""ลพบุรี!M249"")"),111118)</f>
        <v>111118</v>
      </c>
      <c r="O354" s="169">
        <f t="shared" ca="1" si="105"/>
        <v>38.427860008299902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IFERROR(__xludf.DUMMYFUNCTION("IMPORTRANGE(""https://docs.google.com/spreadsheets/d/1SX6NBoVAgQJ6U1MVXOaj8PK2l7WJ3RER9xtqwdhxkhw/edit?usp=sharing"",""ลพบุรี!M252"")"),48218)</f>
        <v>48218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IFERROR(__xludf.DUMMYFUNCTION("IMPORTRANGE(""https://docs.google.com/spreadsheets/d/1SX6NBoVAgQJ6U1MVXOaj8PK2l7WJ3RER9xtqwdhxkhw/edit?usp=sharing"",""ลพบุรี!M253"")"),12500)</f>
        <v>12500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IFERROR(__xludf.DUMMYFUNCTION("IMPORTRANGE(""https://docs.google.com/spreadsheets/d/1SX6NBoVAgQJ6U1MVXOaj8PK2l7WJ3RER9xtqwdhxkhw/edit?usp=sharing"",""ลพบุรี!J274"")"),0)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IFERROR(__xludf.DUMMYFUNCTION("IMPORTRANGE(""https://docs.google.com/spreadsheets/d/1SX6NBoVAgQJ6U1MVXOaj8PK2l7WJ3RER9xtqwdhxkhw/edit?usp=sharing"",""ลพบุรี!M275"")"),259445)</f>
        <v>259445</v>
      </c>
      <c r="O380" s="373">
        <f ca="1">+IF(L380&gt;0,N380*100/L380,0)</f>
        <v>25.225080698479367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IFERROR(__xludf.DUMMYFUNCTION("IMPORTRANGE(""https://docs.google.com/spreadsheets/d/1SX6NBoVAgQJ6U1MVXOaj8PK2l7WJ3RER9xtqwdhxkhw/edit?usp=sharing"",""ลพบุรี!M278"")"),259445)</f>
        <v>259445</v>
      </c>
      <c r="O383" s="165">
        <f t="shared" ca="1" si="109"/>
        <v>25.225080698479367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IFERROR(__xludf.DUMMYFUNCTION("IMPORTRANGE(""https://docs.google.com/spreadsheets/d/1SX6NBoVAgQJ6U1MVXOaj8PK2l7WJ3RER9xtqwdhxkhw/edit?usp=sharing"",""ลพบุรี!M280"")"),259445)</f>
        <v>259445</v>
      </c>
      <c r="O385" s="169">
        <f t="shared" ca="1" si="109"/>
        <v>25.225080698479367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IFERROR(__xludf.DUMMYFUNCTION("IMPORTRANGE(""https://docs.google.com/spreadsheets/d/1SX6NBoVAgQJ6U1MVXOaj8PK2l7WJ3RER9xtqwdhxkhw/edit?usp=sharing"",""ลพบุรี!M284"")"),20430)</f>
        <v>20430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IFERROR(__xludf.DUMMYFUNCTION("IMPORTRANGE(""https://docs.google.com/spreadsheets/d/1SX6NBoVAgQJ6U1MVXOaj8PK2l7WJ3RER9xtqwdhxkhw/edit?usp=sharing"",""ลพบุรี!J295"")"),0)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IFERROR(__xludf.DUMMYFUNCTION("IMPORTRANGE(""https://docs.google.com/spreadsheets/d/1SX6NBoVAgQJ6U1MVXOaj8PK2l7WJ3RER9xtqwdhxkhw/edit?usp=sharing"",""ลพบุรี!M296"")"),150260)</f>
        <v>150260</v>
      </c>
      <c r="O401" s="373">
        <f ca="1">+IF(L401&gt;0,N401*100/L401,0)</f>
        <v>86.956018518518519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IFERROR(__xludf.DUMMYFUNCTION("IMPORTRANGE(""https://docs.google.com/spreadsheets/d/1SX6NBoVAgQJ6U1MVXOaj8PK2l7WJ3RER9xtqwdhxkhw/edit?usp=sharing"",""ลพบุรี!M299"")"),150260)</f>
        <v>150260</v>
      </c>
      <c r="O404" s="169">
        <f t="shared" ca="1" si="112"/>
        <v>86.956018518518519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IFERROR(__xludf.DUMMYFUNCTION("IMPORTRANGE(""https://docs.google.com/spreadsheets/d/1SX6NBoVAgQJ6U1MVXOaj8PK2l7WJ3RER9xtqwdhxkhw/edit?usp=sharing"",""ลพบุรี!M301"")"),150260)</f>
        <v>150260</v>
      </c>
      <c r="O406" s="169">
        <f t="shared" ca="1" si="112"/>
        <v>86.956018518518519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IFERROR(__xludf.DUMMYFUNCTION("IMPORTRANGE(""https://docs.google.com/spreadsheets/d/1SX6NBoVAgQJ6U1MVXOaj8PK2l7WJ3RER9xtqwdhxkhw/edit?usp=sharing"",""ลพบุรี!M303"")"),36000)</f>
        <v>36000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IFERROR(__xludf.DUMMYFUNCTION("IMPORTRANGE(""https://docs.google.com/spreadsheets/d/1SX6NBoVAgQJ6U1MVXOaj8PK2l7WJ3RER9xtqwdhxkhw/edit?usp=sharing"",""ลพบุรี!J329"")"),0)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IFERROR(__xludf.DUMMYFUNCTION("IMPORTRANGE(""https://docs.google.com/spreadsheets/d/1SX6NBoVAgQJ6U1MVXOaj8PK2l7WJ3RER9xtqwdhxkhw/edit?usp=sharing"",""ลพบุรี!M330"")"),66880)</f>
        <v>66880</v>
      </c>
      <c r="O435" s="412">
        <f t="shared" ref="O435:O439" ca="1" si="114">+IF(L435&gt;0,N435*100/L435,0)</f>
        <v>66.88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IFERROR(__xludf.DUMMYFUNCTION("IMPORTRANGE(""https://docs.google.com/spreadsheets/d/1SX6NBoVAgQJ6U1MVXOaj8PK2l7WJ3RER9xtqwdhxkhw/edit?usp=sharing"",""ลพบุรี!M332"")"),66880)</f>
        <v>66880</v>
      </c>
      <c r="O437" s="169">
        <f t="shared" ca="1" si="114"/>
        <v>66.88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IFERROR(__xludf.DUMMYFUNCTION("IMPORTRANGE(""https://docs.google.com/spreadsheets/d/1SX6NBoVAgQJ6U1MVXOaj8PK2l7WJ3RER9xtqwdhxkhw/edit?usp=sharing"",""ลพบุรี!M334"")"),66880)</f>
        <v>66880</v>
      </c>
      <c r="O439" s="169">
        <f t="shared" ca="1" si="114"/>
        <v>66.88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IFERROR(__xludf.DUMMYFUNCTION("IMPORTRANGE(""https://docs.google.com/spreadsheets/d/1SX6NBoVAgQJ6U1MVXOaj8PK2l7WJ3RER9xtqwdhxkhw/edit?usp=sharing"",""ลพบุรี!M338"")"),22680)</f>
        <v>22680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IFERROR(__xludf.DUMMYFUNCTION("IMPORTRANGE(""https://docs.google.com/spreadsheets/d/1SX6NBoVAgQJ6U1MVXOaj8PK2l7WJ3RER9xtqwdhxkhw/edit?usp=sharing"",""ลพบุรี!J349"")"),0)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IFERROR(__xludf.DUMMYFUNCTION("IMPORTRANGE(""https://docs.google.com/spreadsheets/d/1SX6NBoVAgQJ6U1MVXOaj8PK2l7WJ3RER9xtqwdhxkhw/edit?usp=sharing"",""ลพบุรี!L350"")"),794301)</f>
        <v>794301</v>
      </c>
      <c r="M455" s="373"/>
      <c r="N455" s="373">
        <f ca="1">IFERROR(__xludf.DUMMYFUNCTION("IMPORTRANGE(""https://docs.google.com/spreadsheets/d/1SX6NBoVAgQJ6U1MVXOaj8PK2l7WJ3RER9xtqwdhxkhw/edit?usp=sharing"",""ลพบุรี!M350"")"),139479.15)</f>
        <v>139479.15</v>
      </c>
      <c r="O455" s="373">
        <f t="shared" ref="O455:O459" ca="1" si="116">+IF(L455&gt;0,N455*100/L455,0)</f>
        <v>17.559986705291823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IFERROR(__xludf.DUMMYFUNCTION("IMPORTRANGE(""https://docs.google.com/spreadsheets/d/1SX6NBoVAgQJ6U1MVXOaj8PK2l7WJ3RER9xtqwdhxkhw/edit?usp=sharing"",""ลพบุรี!L352"")"),794301)</f>
        <v>794301</v>
      </c>
      <c r="M457" s="165"/>
      <c r="N457" s="169">
        <f ca="1">IFERROR(__xludf.DUMMYFUNCTION("IMPORTRANGE(""https://docs.google.com/spreadsheets/d/1SX6NBoVAgQJ6U1MVXOaj8PK2l7WJ3RER9xtqwdhxkhw/edit?usp=sharing"",""ลพบุรี!M352"")"),139479.15)</f>
        <v>139479.15</v>
      </c>
      <c r="O457" s="169">
        <f t="shared" ca="1" si="116"/>
        <v>17.559986705291823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IFERROR(__xludf.DUMMYFUNCTION("IMPORTRANGE(""https://docs.google.com/spreadsheets/d/1SX6NBoVAgQJ6U1MVXOaj8PK2l7WJ3RER9xtqwdhxkhw/edit?usp=sharing"",""ลพบุรี!L354"")"),794301)</f>
        <v>794301</v>
      </c>
      <c r="M459" s="169"/>
      <c r="N459" s="169">
        <f ca="1">IFERROR(__xludf.DUMMYFUNCTION("IMPORTRANGE(""https://docs.google.com/spreadsheets/d/1SX6NBoVAgQJ6U1MVXOaj8PK2l7WJ3RER9xtqwdhxkhw/edit?usp=sharing"",""ลพบุรี!M354"")"),139479.15)</f>
        <v>139479.15</v>
      </c>
      <c r="O459" s="169">
        <f t="shared" ca="1" si="116"/>
        <v>17.559986705291823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IFERROR(__xludf.DUMMYFUNCTION("IMPORTRANGE(""https://docs.google.com/spreadsheets/d/1SX6NBoVAgQJ6U1MVXOaj8PK2l7WJ3RER9xtqwdhxkhw/edit?usp=sharing"",""ลพบุรี!M357"")"),77000)</f>
        <v>77000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IFERROR(__xludf.DUMMYFUNCTION("IMPORTRANGE(""https://docs.google.com/spreadsheets/d/1SX6NBoVAgQJ6U1MVXOaj8PK2l7WJ3RER9xtqwdhxkhw/edit?usp=sharing"",""ลพบุรี!I359"")"),109020)</f>
        <v>109020</v>
      </c>
      <c r="J464" s="267">
        <f ca="1">IFERROR(__xludf.DUMMYFUNCTION("IMPORTRANGE(""https://docs.google.com/spreadsheets/d/1SX6NBoVAgQJ6U1MVXOaj8PK2l7WJ3RER9xtqwdhxkhw/edit?usp=sharing"",""ลพบุรี!J359"")"),0)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IFERROR(__xludf.DUMMYFUNCTION("IMPORTRANGE(""https://docs.google.com/spreadsheets/d/1SX6NBoVAgQJ6U1MVXOaj8PK2l7WJ3RER9xtqwdhxkhw/edit?usp=sharing"",""ลพบุรี!J362"")"),76932)</f>
        <v>76932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IFERROR(__xludf.DUMMYFUNCTION("IMPORTRANGE(""https://docs.google.com/spreadsheets/d/1SX6NBoVAgQJ6U1MVXOaj8PK2l7WJ3RER9xtqwdhxkhw/edit?usp=sharing"",""ลพบุรี!J363"")"),4807)</f>
        <v>4807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IFERROR(__xludf.DUMMYFUNCTION("IMPORTRANGE(""https://docs.google.com/spreadsheets/d/1SX6NBoVAgQJ6U1MVXOaj8PK2l7WJ3RER9xtqwdhxkhw/edit?usp=sharing"",""ลพบุรี!J364"")"),28032)</f>
        <v>28032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IFERROR(__xludf.DUMMYFUNCTION("IMPORTRANGE(""https://docs.google.com/spreadsheets/d/1SX6NBoVAgQJ6U1MVXOaj8PK2l7WJ3RER9xtqwdhxkhw/edit?usp=sharing"",""ลพบุรี!J365"")"),1369)</f>
        <v>1369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IFERROR(__xludf.DUMMYFUNCTION("IMPORTRANGE(""https://docs.google.com/spreadsheets/d/1SX6NBoVAgQJ6U1MVXOaj8PK2l7WJ3RER9xtqwdhxkhw/edit?usp=sharing"",""ลพบุรี!J366"")"),4058)</f>
        <v>4058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IFERROR(__xludf.DUMMYFUNCTION("IMPORTRANGE(""https://docs.google.com/spreadsheets/d/1SX6NBoVAgQJ6U1MVXOaj8PK2l7WJ3RER9xtqwdhxkhw/edit?usp=sharing"",""ลพบุรี!J370"")"),76894)</f>
        <v>76894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IFERROR(__xludf.DUMMYFUNCTION("IMPORTRANGE(""https://docs.google.com/spreadsheets/d/1SX6NBoVAgQJ6U1MVXOaj8PK2l7WJ3RER9xtqwdhxkhw/edit?usp=sharing"",""ลพบุรี!J372"")"),28081)</f>
        <v>28081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IFERROR(__xludf.DUMMYFUNCTION("IMPORTRANGE(""https://docs.google.com/spreadsheets/d/1SX6NBoVAgQJ6U1MVXOaj8PK2l7WJ3RER9xtqwdhxkhw/edit?usp=sharing"",""ลพบุรี!J373"")"),1374)</f>
        <v>1374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IFERROR(__xludf.DUMMYFUNCTION("IMPORTRANGE(""https://docs.google.com/spreadsheets/d/1SX6NBoVAgQJ6U1MVXOaj8PK2l7WJ3RER9xtqwdhxkhw/edit?usp=sharing"",""ลพบุรี!J374"")"),4047)</f>
        <v>4047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IFERROR(__xludf.DUMMYFUNCTION("IMPORTRANGE(""https://docs.google.com/spreadsheets/d/1SX6NBoVAgQJ6U1MVXOaj8PK2l7WJ3RER9xtqwdhxkhw/edit?usp=sharing"",""ลพบุรี!I411"")"),0)</f>
        <v>0</v>
      </c>
      <c r="J516" s="267">
        <f ca="1">IFERROR(__xludf.DUMMYFUNCTION("IMPORTRANGE(""https://docs.google.com/spreadsheets/d/1SX6NBoVAgQJ6U1MVXOaj8PK2l7WJ3RER9xtqwdhxkhw/edit?usp=sharing"",""ลพบุรี!J411"")"),0)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IFERROR(__xludf.DUMMYFUNCTION("IMPORTRANGE(""https://docs.google.com/spreadsheets/d/1SX6NBoVAgQJ6U1MVXOaj8PK2l7WJ3RER9xtqwdhxkhw/edit?usp=sharing"",""ลพบุรี!I412"")"),0)</f>
        <v>0</v>
      </c>
      <c r="J517" s="284">
        <f ca="1">IFERROR(__xludf.DUMMYFUNCTION("IMPORTRANGE(""https://docs.google.com/spreadsheets/d/1SX6NBoVAgQJ6U1MVXOaj8PK2l7WJ3RER9xtqwdhxkhw/edit?usp=sharing"",""ลพบุรี!J412"")"),0)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IFERROR(__xludf.DUMMYFUNCTION("IMPORTRANGE(""https://docs.google.com/spreadsheets/d/1SX6NBoVAgQJ6U1MVXOaj8PK2l7WJ3RER9xtqwdhxkhw/edit?usp=sharing"",""ลพบุรี!I413"")"),0)</f>
        <v>0</v>
      </c>
      <c r="J518" s="284">
        <f ca="1">IFERROR(__xludf.DUMMYFUNCTION("IMPORTRANGE(""https://docs.google.com/spreadsheets/d/1SX6NBoVAgQJ6U1MVXOaj8PK2l7WJ3RER9xtqwdhxkhw/edit?usp=sharing"",""ลพบุรี!J413"")"),0)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IFERROR(__xludf.DUMMYFUNCTION("IMPORTRANGE(""https://docs.google.com/spreadsheets/d/1SX6NBoVAgQJ6U1MVXOaj8PK2l7WJ3RER9xtqwdhxkhw/edit?usp=sharing"",""ลพบุรี!J418"")"),10)</f>
        <v>10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IFERROR(__xludf.DUMMYFUNCTION("IMPORTRANGE(""https://docs.google.com/spreadsheets/d/1SX6NBoVAgQJ6U1MVXOaj8PK2l7WJ3RER9xtqwdhxkhw/edit?usp=sharing"",""ลพบุรี!I420"")"),10)</f>
        <v>10</v>
      </c>
      <c r="J525" s="284">
        <f ca="1">IFERROR(__xludf.DUMMYFUNCTION("IMPORTRANGE(""https://docs.google.com/spreadsheets/d/1SX6NBoVAgQJ6U1MVXOaj8PK2l7WJ3RER9xtqwdhxkhw/edit?usp=sharing"",""ลพบุรี!J420"")"),0)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IFERROR(__xludf.DUMMYFUNCTION("IMPORTRANGE(""https://docs.google.com/spreadsheets/d/1SX6NBoVAgQJ6U1MVXOaj8PK2l7WJ3RER9xtqwdhxkhw/edit?usp=sharing"",""ลพบุรี!I421"")"),1)</f>
        <v>1</v>
      </c>
      <c r="J526" s="284">
        <f ca="1">IFERROR(__xludf.DUMMYFUNCTION("IMPORTRANGE(""https://docs.google.com/spreadsheets/d/1SX6NBoVAgQJ6U1MVXOaj8PK2l7WJ3RER9xtqwdhxkhw/edit?usp=sharing"",""ลพบุรี!J421"")"),0)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IFERROR(__xludf.DUMMYFUNCTION("IMPORTRANGE(""https://docs.google.com/spreadsheets/d/1SX6NBoVAgQJ6U1MVXOaj8PK2l7WJ3RER9xtqwdhxkhw/edit?usp=sharing"",""ลพบุรี!M428"")"),27220)</f>
        <v>27220</v>
      </c>
      <c r="O533" s="412">
        <f t="shared" ref="O533:O537" ca="1" si="118">+IF(L533&gt;0,N533*100/L533,0)</f>
        <v>79.266161910308682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IFERROR(__xludf.DUMMYFUNCTION("IMPORTRANGE(""https://docs.google.com/spreadsheets/d/1SX6NBoVAgQJ6U1MVXOaj8PK2l7WJ3RER9xtqwdhxkhw/edit?usp=sharing"",""ลพบุรี!M430"")"),27220)</f>
        <v>27220</v>
      </c>
      <c r="O535" s="169">
        <f t="shared" ca="1" si="118"/>
        <v>79.266161910308682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IFERROR(__xludf.DUMMYFUNCTION("IMPORTRANGE(""https://docs.google.com/spreadsheets/d/1SX6NBoVAgQJ6U1MVXOaj8PK2l7WJ3RER9xtqwdhxkhw/edit?usp=sharing"",""ลพบุรี!M432"")"),27220)</f>
        <v>27220</v>
      </c>
      <c r="O537" s="169">
        <f t="shared" ca="1" si="118"/>
        <v>79.266161910308682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IFERROR(__xludf.DUMMYFUNCTION("IMPORTRANGE(""https://docs.google.com/spreadsheets/d/1SX6NBoVAgQJ6U1MVXOaj8PK2l7WJ3RER9xtqwdhxkhw/edit?usp=sharing"",""ลพบุรี!M436"")"),8480)</f>
        <v>8480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IFERROR(__xludf.DUMMYFUNCTION("IMPORTRANGE(""https://docs.google.com/spreadsheets/d/1SX6NBoVAgQJ6U1MVXOaj8PK2l7WJ3RER9xtqwdhxkhw/edit?usp=sharing"",""ลพบุรี!J459"")"),2694)</f>
        <v>2694</v>
      </c>
      <c r="K564" s="372">
        <f ca="1">IF(I564&gt;0,J564*100/I564,0)</f>
        <v>199.55555555555554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IFERROR(__xludf.DUMMYFUNCTION("IMPORTRANGE(""https://docs.google.com/spreadsheets/d/1SX6NBoVAgQJ6U1MVXOaj8PK2l7WJ3RER9xtqwdhxkhw/edit?usp=sharing"",""ลพบุรี!J468"")"),2694)</f>
        <v>2694</v>
      </c>
      <c r="K573" s="202">
        <f ca="1">IF(I573&gt;0,J573*100/I573,0)</f>
        <v>199.55555555555554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IFERROR(__xludf.DUMMYFUNCTION("IMPORTRANGE(""https://docs.google.com/spreadsheets/d/1SX6NBoVAgQJ6U1MVXOaj8PK2l7WJ3RER9xtqwdhxkhw/edit?usp=sharing"",""ลพบุรี!J471"")"),408)</f>
        <v>408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IFERROR(__xludf.DUMMYFUNCTION("IMPORTRANGE(""https://docs.google.com/spreadsheets/d/1SX6NBoVAgQJ6U1MVXOaj8PK2l7WJ3RER9xtqwdhxkhw/edit?usp=sharing"",""ลพบุรี!J472"")"),2286)</f>
        <v>2286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IFERROR(__xludf.DUMMYFUNCTION("IMPORTRANGE(""https://docs.google.com/spreadsheets/d/1SX6NBoVAgQJ6U1MVXOaj8PK2l7WJ3RER9xtqwdhxkhw/edit?usp=sharing"",""ลพบุรี!I491"")"),0)</f>
        <v>0</v>
      </c>
      <c r="J596" s="241">
        <f ca="1">IFERROR(__xludf.DUMMYFUNCTION("IMPORTRANGE(""https://docs.google.com/spreadsheets/d/1SX6NBoVAgQJ6U1MVXOaj8PK2l7WJ3RER9xtqwdhxkhw/edit?usp=sharing"",""ลพบุรี!J491"")"),1.51)</f>
        <v>1.51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7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7.2808988764044944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7.2808988764044944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1">
        <f ca="1">IFERROR(__xludf.DUMMYFUNCTION("IMPORTRANGE(""https://docs.google.com/spreadsheets/d/1SX6NBoVAgQJ6U1MVXOaj8PK2l7WJ3RER9xtqwdhxkhw/edit?usp=sharing"",""ลพบุรี!J523"")"),4749880.06)</f>
        <v>4749880.0599999996</v>
      </c>
      <c r="K628" s="342">
        <f t="shared" ref="K628:K635" ca="1" si="129">IF(I628&gt;0,J628*100/I628,0)</f>
        <v>43.417594319637452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IFERROR(__xludf.DUMMYFUNCTION("IMPORTRANGE(""https://docs.google.com/spreadsheets/d/1SX6NBoVAgQJ6U1MVXOaj8PK2l7WJ3RER9xtqwdhxkhw/edit?usp=sharing"",""ลพบุรี!I524"")"),387)</f>
        <v>387</v>
      </c>
      <c r="J629" s="341">
        <f ca="1">IFERROR(__xludf.DUMMYFUNCTION("IMPORTRANGE(""https://docs.google.com/spreadsheets/d/1SX6NBoVAgQJ6U1MVXOaj8PK2l7WJ3RER9xtqwdhxkhw/edit?usp=sharing"",""ลพบุรี!J524"")"),176)</f>
        <v>176</v>
      </c>
      <c r="K629" s="342">
        <f t="shared" ca="1" si="129"/>
        <v>45.478036175710592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1">
        <f ca="1">IFERROR(__xludf.DUMMYFUNCTION("IMPORTRANGE(""https://docs.google.com/spreadsheets/d/1SX6NBoVAgQJ6U1MVXOaj8PK2l7WJ3RER9xtqwdhxkhw/edit?usp=sharing"",""ลพบุรี!J525"")"),399072.52)</f>
        <v>399072.52</v>
      </c>
      <c r="K630" s="342">
        <f t="shared" ca="1" si="129"/>
        <v>6.0506365870988752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IFERROR(__xludf.DUMMYFUNCTION("IMPORTRANGE(""https://docs.google.com/spreadsheets/d/1SX6NBoVAgQJ6U1MVXOaj8PK2l7WJ3RER9xtqwdhxkhw/edit?usp=sharing"",""ลพบุรี!I526"")"),307)</f>
        <v>307</v>
      </c>
      <c r="J631" s="341">
        <f ca="1">IFERROR(__xludf.DUMMYFUNCTION("IMPORTRANGE(""https://docs.google.com/spreadsheets/d/1SX6NBoVAgQJ6U1MVXOaj8PK2l7WJ3RER9xtqwdhxkhw/edit?usp=sharing"",""ลพบุรี!J526"")"),41)</f>
        <v>41</v>
      </c>
      <c r="K631" s="342">
        <f t="shared" ca="1" si="129"/>
        <v>13.355048859934854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IFERROR(__xludf.DUMMYFUNCTION("IMPORTRANGE(""https://docs.google.com/spreadsheets/d/1SX6NBoVAgQJ6U1MVXOaj8PK2l7WJ3RER9xtqwdhxkhw/edit?usp=sharing"",""ลพบุรี!I527"")"),10071385.83)</f>
        <v>10071385.83</v>
      </c>
      <c r="J632" s="341">
        <f ca="1">IFERROR(__xludf.DUMMYFUNCTION("IMPORTRANGE(""https://docs.google.com/spreadsheets/d/1SX6NBoVAgQJ6U1MVXOaj8PK2l7WJ3RER9xtqwdhxkhw/edit?usp=sharing"",""ลพบุรี!J527"")"),2232231.34)</f>
        <v>2232231.34</v>
      </c>
      <c r="K632" s="342">
        <f t="shared" ca="1" si="129"/>
        <v>22.164093181206226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IFERROR(__xludf.DUMMYFUNCTION("IMPORTRANGE(""https://docs.google.com/spreadsheets/d/1SX6NBoVAgQJ6U1MVXOaj8PK2l7WJ3RER9xtqwdhxkhw/edit?usp=sharing"",""ลพบุรี!I528"")"),1083)</f>
        <v>1083</v>
      </c>
      <c r="J633" s="341">
        <f ca="1">IFERROR(__xludf.DUMMYFUNCTION("IMPORTRANGE(""https://docs.google.com/spreadsheets/d/1SX6NBoVAgQJ6U1MVXOaj8PK2l7WJ3RER9xtqwdhxkhw/edit?usp=sharing"",""ลพบุรี!J528"")"),481)</f>
        <v>481</v>
      </c>
      <c r="K633" s="342">
        <f t="shared" ca="1" si="129"/>
        <v>44.413665743305636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IFERROR(__xludf.DUMMYFUNCTION("IMPORTRANGE(""https://docs.google.com/spreadsheets/d/1SX6NBoVAgQJ6U1MVXOaj8PK2l7WJ3RER9xtqwdhxkhw/edit?usp=sharing"",""ลพบุรี!I529"")"),10000000)</f>
        <v>10000000</v>
      </c>
      <c r="J634" s="341">
        <f ca="1">IFERROR(__xludf.DUMMYFUNCTION("IMPORTRANGE(""https://docs.google.com/spreadsheets/d/1SX6NBoVAgQJ6U1MVXOaj8PK2l7WJ3RER9xtqwdhxkhw/edit?usp=sharing"",""ลพบุรี!J529"")"),3745000)</f>
        <v>3745000</v>
      </c>
      <c r="K634" s="342">
        <f t="shared" ca="1" si="129"/>
        <v>37.450000000000003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IFERROR(__xludf.DUMMYFUNCTION("IMPORTRANGE(""https://docs.google.com/spreadsheets/d/1SX6NBoVAgQJ6U1MVXOaj8PK2l7WJ3RER9xtqwdhxkhw/edit?usp=sharing"",""ลพบุรี!I530"")"),333)</f>
        <v>333</v>
      </c>
      <c r="J635" s="504">
        <f ca="1">IFERROR(__xludf.DUMMYFUNCTION("IMPORTRANGE(""https://docs.google.com/spreadsheets/d/1SX6NBoVAgQJ6U1MVXOaj8PK2l7WJ3RER9xtqwdhxkhw/edit?usp=sharing"",""ลพบุรี!J530"")"),122)</f>
        <v>122</v>
      </c>
      <c r="K635" s="486">
        <f t="shared" ca="1" si="129"/>
        <v>36.636636636636638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41700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41700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41700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IFERROR(__xludf.DUMMYFUNCTION("IMPORTRANGE(""https://docs.google.com/spreadsheets/d/1SX6NBoVAgQJ6U1MVXOaj8PK2l7WJ3RER9xtqwdhxkhw/edit#gid=346597447"",""ลพบุรี!J541"")"),0)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IFERROR(__xludf.DUMMYFUNCTION("IMPORTRANGE(""https://docs.google.com/spreadsheets/d/1SX6NBoVAgQJ6U1MVXOaj8PK2l7WJ3RER9xtqwdhxkhw/edit#gid=346597447"",""ลพบุรี!J542"")"),0)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IFERROR(__xludf.DUMMYFUNCTION("IMPORTRANGE(""https://docs.google.com/spreadsheets/d/1SX6NBoVAgQJ6U1MVXOaj8PK2l7WJ3RER9xtqwdhxkhw/edit#gid=346597447"",""ลพบุรี!I543"")"),227)</f>
        <v>227</v>
      </c>
      <c r="J648" s="536">
        <f ca="1">IFERROR(__xludf.DUMMYFUNCTION("IMPORTRANGE(""https://docs.google.com/spreadsheets/d/1SX6NBoVAgQJ6U1MVXOaj8PK2l7WJ3RER9xtqwdhxkhw/edit#gid=346597447"",""ลพบุรี!J543"")"),0)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IFERROR(__xludf.DUMMYFUNCTION("IMPORTRANGE(""https://docs.google.com/spreadsheets/d/1SX6NBoVAgQJ6U1MVXOaj8PK2l7WJ3RER9xtqwdhxkhw/edit#gid=346597447"",""ลพบุรี!L543"")"),18160)</f>
        <v>18160</v>
      </c>
      <c r="M648" s="521"/>
      <c r="N648" s="538">
        <f ca="1">IFERROR(__xludf.DUMMYFUNCTION("IMPORTRANGE(""https://docs.google.com/spreadsheets/d/1SX6NBoVAgQJ6U1MVXOaj8PK2l7WJ3RER9xtqwdhxkhw/edit#gid=346597447"",""ลพบุรี!M543"")"),0)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IFERROR(__xludf.DUMMYFUNCTION("IMPORTRANGE(""https://docs.google.com/spreadsheets/d/1SX6NBoVAgQJ6U1MVXOaj8PK2l7WJ3RER9xtqwdhxkhw/edit#gid=346597447"",""ลพบุรี!I544"")"),3)</f>
        <v>3</v>
      </c>
      <c r="J649" s="536">
        <f ca="1">IFERROR(__xludf.DUMMYFUNCTION("IMPORTRANGE(""https://docs.google.com/spreadsheets/d/1SX6NBoVAgQJ6U1MVXOaj8PK2l7WJ3RER9xtqwdhxkhw/edit#gid=346597447"",""ลพบุรี!J544"")"),0)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IFERROR(__xludf.DUMMYFUNCTION("IMPORTRANGE(""https://docs.google.com/spreadsheets/d/1SX6NBoVAgQJ6U1MVXOaj8PK2l7WJ3RER9xtqwdhxkhw/edit#gid=346597447"",""ลพบุรี!L544"")"),360)</f>
        <v>360</v>
      </c>
      <c r="M649" s="521"/>
      <c r="N649" s="538">
        <f ca="1">IFERROR(__xludf.DUMMYFUNCTION("IMPORTRANGE(""https://docs.google.com/spreadsheets/d/1SX6NBoVAgQJ6U1MVXOaj8PK2l7WJ3RER9xtqwdhxkhw/edit#gid=346597447"",""ลพบุรี!M544"")"),0)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IFERROR(__xludf.DUMMYFUNCTION("IMPORTRANGE(""https://docs.google.com/spreadsheets/d/1SX6NBoVAgQJ6U1MVXOaj8PK2l7WJ3RER9xtqwdhxkhw/edit#gid=346597447"",""ลพบุรี!I545"")"),50)</f>
        <v>50</v>
      </c>
      <c r="J650" s="536">
        <f ca="1">IFERROR(__xludf.DUMMYFUNCTION("IMPORTRANGE(""https://docs.google.com/spreadsheets/d/1SX6NBoVAgQJ6U1MVXOaj8PK2l7WJ3RER9xtqwdhxkhw/edit#gid=346597447"",""ลพบุรี!J545"")"),0)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IFERROR(__xludf.DUMMYFUNCTION("IMPORTRANGE(""https://docs.google.com/spreadsheets/d/1SX6NBoVAgQJ6U1MVXOaj8PK2l7WJ3RER9xtqwdhxkhw/edit#gid=346597447"",""ลพบุรี!L545"")"),250)</f>
        <v>250</v>
      </c>
      <c r="M650" s="521"/>
      <c r="N650" s="538">
        <f ca="1">IFERROR(__xludf.DUMMYFUNCTION("IMPORTRANGE(""https://docs.google.com/spreadsheets/d/1SX6NBoVAgQJ6U1MVXOaj8PK2l7WJ3RER9xtqwdhxkhw/edit#gid=346597447"",""ลพบุรี!M545"")"),0)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IFERROR(__xludf.DUMMYFUNCTION("IMPORTRANGE(""https://docs.google.com/spreadsheets/d/1SX6NBoVAgQJ6U1MVXOaj8PK2l7WJ3RER9xtqwdhxkhw/edit#gid=346597447"",""ลพบุรี!I546"")"),50)</f>
        <v>50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IFERROR(__xludf.DUMMYFUNCTION("IMPORTRANGE(""https://docs.google.com/spreadsheets/d/1SX6NBoVAgQJ6U1MVXOaj8PK2l7WJ3RER9xtqwdhxkhw/edit#gid=346597447"",""ลพบุรี!L546"")"),1250)</f>
        <v>1250</v>
      </c>
      <c r="M651" s="521"/>
      <c r="N651" s="538">
        <f ca="1">IFERROR(__xludf.DUMMYFUNCTION("IMPORTRANGE(""https://docs.google.com/spreadsheets/d/1SX6NBoVAgQJ6U1MVXOaj8PK2l7WJ3RER9xtqwdhxkhw/edit#gid=346597447"",""ลพบุรี!M546"")"),0)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IFERROR(__xludf.DUMMYFUNCTION("IMPORTRANGE(""https://docs.google.com/spreadsheets/d/1SX6NBoVAgQJ6U1MVXOaj8PK2l7WJ3RER9xtqwdhxkhw/edit#gid=346597447"",""ลพบุรี!J547"")"),0)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IFERROR(__xludf.DUMMYFUNCTION("IMPORTRANGE(""https://docs.google.com/spreadsheets/d/1SX6NBoVAgQJ6U1MVXOaj8PK2l7WJ3RER9xtqwdhxkhw/edit#gid=346597447"",""ลพบุรี!J548"")"),0)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IFERROR(__xludf.DUMMYFUNCTION("IMPORTRANGE(""https://docs.google.com/spreadsheets/d/1SX6NBoVAgQJ6U1MVXOaj8PK2l7WJ3RER9xtqwdhxkhw/edit#gid=346597447"",""ลพบุรี!J550"")"),0)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IFERROR(__xludf.DUMMYFUNCTION("IMPORTRANGE(""https://docs.google.com/spreadsheets/d/1SX6NBoVAgQJ6U1MVXOaj8PK2l7WJ3RER9xtqwdhxkhw/edit#gid=346597447"",""ลพบุรี!J551"")"),0)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IFERROR(__xludf.DUMMYFUNCTION("IMPORTRANGE(""https://docs.google.com/spreadsheets/d/1SX6NBoVAgQJ6U1MVXOaj8PK2l7WJ3RER9xtqwdhxkhw/edit#gid=346597447"",""ลพบุรี!J552"")"),0)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IFERROR(__xludf.DUMMYFUNCTION("IMPORTRANGE(""https://docs.google.com/spreadsheets/d/1SX6NBoVAgQJ6U1MVXOaj8PK2l7WJ3RER9xtqwdhxkhw/edit#gid=346597447"",""ลพบุรี!J553"")"),0)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IFERROR(__xludf.DUMMYFUNCTION("IMPORTRANGE(""https://docs.google.com/spreadsheets/d/1SX6NBoVAgQJ6U1MVXOaj8PK2l7WJ3RER9xtqwdhxkhw/edit#gid=346597447"",""ลพบุรี!J554"")"),0)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IFERROR(__xludf.DUMMYFUNCTION("IMPORTRANGE(""https://docs.google.com/spreadsheets/d/1SX6NBoVAgQJ6U1MVXOaj8PK2l7WJ3RER9xtqwdhxkhw/edit#gid=346597447"",""ลพบุรี!J555"")"),0)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IFERROR(__xludf.DUMMYFUNCTION("IMPORTRANGE(""https://docs.google.com/spreadsheets/d/1SX6NBoVAgQJ6U1MVXOaj8PK2l7WJ3RER9xtqwdhxkhw/edit#gid=346597447"",""ลพบุรี!J556"")"),0)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IFERROR(__xludf.DUMMYFUNCTION("IMPORTRANGE(""https://docs.google.com/spreadsheets/d/1SX6NBoVAgQJ6U1MVXOaj8PK2l7WJ3RER9xtqwdhxkhw/edit#gid=346597447"",""ลพบุรี!L556"")"),20000)</f>
        <v>20000</v>
      </c>
      <c r="M661" s="521"/>
      <c r="N661" s="538">
        <f ca="1">IFERROR(__xludf.DUMMYFUNCTION("IMPORTRANGE(""https://docs.google.com/spreadsheets/d/1SX6NBoVAgQJ6U1MVXOaj8PK2l7WJ3RER9xtqwdhxkhw/edit#gid=346597447"",""ลพบุรี!M556"")"),0)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IFERROR(__xludf.DUMMYFUNCTION("IMPORTRANGE(""https://docs.google.com/spreadsheets/d/1SX6NBoVAgQJ6U1MVXOaj8PK2l7WJ3RER9xtqwdhxkhw/edit#gid=346597447"",""ลพบุรี!J557"")"),0)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IFERROR(__xludf.DUMMYFUNCTION("IMPORTRANGE(""https://docs.google.com/spreadsheets/d/1SX6NBoVAgQJ6U1MVXOaj8PK2l7WJ3RER9xtqwdhxkhw/edit#gid=346597447"",""ลพบุรี!I558"")"),500)</f>
        <v>500</v>
      </c>
      <c r="J663" s="536">
        <f ca="1">IFERROR(__xludf.DUMMYFUNCTION("IMPORTRANGE(""https://docs.google.com/spreadsheets/d/1SX6NBoVAgQJ6U1MVXOaj8PK2l7WJ3RER9xtqwdhxkhw/edit#gid=346597447"",""ลพบุรี!J558"")"),0)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IFERROR(__xludf.DUMMYFUNCTION("IMPORTRANGE(""https://docs.google.com/spreadsheets/d/1SX6NBoVAgQJ6U1MVXOaj8PK2l7WJ3RER9xtqwdhxkhw/edit#gid=346597447"",""ลพบุรี!I560"")"),10)</f>
        <v>10</v>
      </c>
      <c r="J665" s="536">
        <f ca="1">IFERROR(__xludf.DUMMYFUNCTION("IMPORTRANGE(""https://docs.google.com/spreadsheets/d/1SX6NBoVAgQJ6U1MVXOaj8PK2l7WJ3RER9xtqwdhxkhw/edit#gid=346597447"",""ลพบุรี!J560"")"),0)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IFERROR(__xludf.DUMMYFUNCTION("IMPORTRANGE(""https://docs.google.com/spreadsheets/d/1SX6NBoVAgQJ6U1MVXOaj8PK2l7WJ3RER9xtqwdhxkhw/edit#gid=346597447"",""ลพบุรี!L560"")"),1200)</f>
        <v>1200</v>
      </c>
      <c r="M665" s="521"/>
      <c r="N665" s="538">
        <f ca="1">IFERROR(__xludf.DUMMYFUNCTION("IMPORTRANGE(""https://docs.google.com/spreadsheets/d/1SX6NBoVAgQJ6U1MVXOaj8PK2l7WJ3RER9xtqwdhxkhw/edit#gid=346597447"",""ลพบุรี!M560"")"),0)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IFERROR(__xludf.DUMMYFUNCTION("IMPORTRANGE(""https://docs.google.com/spreadsheets/d/1SX6NBoVAgQJ6U1MVXOaj8PK2l7WJ3RER9xtqwdhxkhw/edit#gid=346597447"",""ลพบุรี!J561"")"),0)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IFERROR(__xludf.DUMMYFUNCTION("IMPORTRANGE(""https://docs.google.com/spreadsheets/d/1SX6NBoVAgQJ6U1MVXOaj8PK2l7WJ3RER9xtqwdhxkhw/edit#gid=346597447"",""ลพบุรี!J562"")"),0)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IFERROR(__xludf.DUMMYFUNCTION("IMPORTRANGE(""https://docs.google.com/spreadsheets/d/1SX6NBoVAgQJ6U1MVXOaj8PK2l7WJ3RER9xtqwdhxkhw/edit#gid=346597447"",""ลพบุรี!I563"")"),0)</f>
        <v>0</v>
      </c>
      <c r="J668" s="536">
        <f ca="1">IFERROR(__xludf.DUMMYFUNCTION("IMPORTRANGE(""https://docs.google.com/spreadsheets/d/1SX6NBoVAgQJ6U1MVXOaj8PK2l7WJ3RER9xtqwdhxkhw/edit#gid=346597447"",""ลพบุรี!J563"")"),0)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IFERROR(__xludf.DUMMYFUNCTION("IMPORTRANGE(""https://docs.google.com/spreadsheets/d/1SX6NBoVAgQJ6U1MVXOaj8PK2l7WJ3RER9xtqwdhxkhw/edit#gid=346597447"",""ลพบุรี!L563"")"),0)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IFERROR(__xludf.DUMMYFUNCTION("IMPORTRANGE(""https://docs.google.com/spreadsheets/d/1SX6NBoVAgQJ6U1MVXOaj8PK2l7WJ3RER9xtqwdhxkhw/edit#gid=346597447"",""ลพบุรี!M563"")"),0)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IFERROR(__xludf.DUMMYFUNCTION("IMPORTRANGE(""https://docs.google.com/spreadsheets/d/1SX6NBoVAgQJ6U1MVXOaj8PK2l7WJ3RER9xtqwdhxkhw/edit#gid=346597447"",""ลพบุรี!J564"")"),0)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IFERROR(__xludf.DUMMYFUNCTION("IMPORTRANGE(""https://docs.google.com/spreadsheets/d/1SX6NBoVAgQJ6U1MVXOaj8PK2l7WJ3RER9xtqwdhxkhw/edit#gid=346597447"",""ลพบุรี!J565"")"),0)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IFERROR(__xludf.DUMMYFUNCTION("IMPORTRANGE(""https://docs.google.com/spreadsheets/d/1SX6NBoVAgQJ6U1MVXOaj8PK2l7WJ3RER9xtqwdhxkhw/edit#gid=346597447"",""ลพบุรี!I566"")"),6)</f>
        <v>6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IFERROR(__xludf.DUMMYFUNCTION("IMPORTRANGE(""https://docs.google.com/spreadsheets/d/1SX6NBoVAgQJ6U1MVXOaj8PK2l7WJ3RER9xtqwdhxkhw/edit#gid=346597447"",""ลพบุรี!L566"")"),480)</f>
        <v>480</v>
      </c>
      <c r="M671" s="521"/>
      <c r="N671" s="538">
        <f ca="1">IFERROR(__xludf.DUMMYFUNCTION("IMPORTRANGE(""https://docs.google.com/spreadsheets/d/1SX6NBoVAgQJ6U1MVXOaj8PK2l7WJ3RER9xtqwdhxkhw/edit#gid=346597447"",""ลพบุรี!M566"")"),0)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IFERROR(__xludf.DUMMYFUNCTION("IMPORTRANGE(""https://docs.google.com/spreadsheets/d/1SX6NBoVAgQJ6U1MVXOaj8PK2l7WJ3RER9xtqwdhxkhw/edit#gid=346597447"",""ลพบุรี!J567"")"),0)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IFERROR(__xludf.DUMMYFUNCTION("IMPORTRANGE(""https://docs.google.com/spreadsheets/d/1SX6NBoVAgQJ6U1MVXOaj8PK2l7WJ3RER9xtqwdhxkhw/edit#gid=346597447"",""ลพบุรี!J568"")"),0)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IFERROR(__xludf.DUMMYFUNCTION("IMPORTRANGE(""https://docs.google.com/spreadsheets/d/1SX6NBoVAgQJ6U1MVXOaj8PK2l7WJ3RER9xtqwdhxkhw/edit#gid=346597447"",""ลพบุรี!J569"")"),0)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IFERROR(__xludf.DUMMYFUNCTION("IMPORTRANGE(""https://docs.google.com/spreadsheets/d/1SX6NBoVAgQJ6U1MVXOaj8PK2l7WJ3RER9xtqwdhxkhw/edit#gid=346597447"",""ลพบุรี!J570"")"),0)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IFERROR(__xludf.DUMMYFUNCTION("IMPORTRANGE(""https://docs.google.com/spreadsheets/d/1SX6NBoVAgQJ6U1MVXOaj8PK2l7WJ3RER9xtqwdhxkhw/edit#gid=346597447"",""ลพบุรี!J571"")"),0)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IFERROR(__xludf.DUMMYFUNCTION("IMPORTRANGE(""https://docs.google.com/spreadsheets/d/1SX6NBoVAgQJ6U1MVXOaj8PK2l7WJ3RER9xtqwdhxkhw/edit#gid=346597447"",""ลพบุรี!J572"")"),0)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G4" sqref="G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7575053</v>
      </c>
      <c r="M8" s="23">
        <f t="shared" ca="1" si="0"/>
        <v>3942368.84</v>
      </c>
      <c r="N8" s="23">
        <f t="shared" ca="1" si="0"/>
        <v>3506939.54</v>
      </c>
      <c r="O8" s="22">
        <f t="shared" ref="O8:O16" ca="1" si="1">IF(L8&gt;0,N8*100/L8,0)</f>
        <v>46.295907632593462</v>
      </c>
      <c r="P8" s="22">
        <f t="shared" ref="P8:P16" ca="1" si="2">IF(M8&gt;0,N8*100/M8,0)</f>
        <v>88.955135410414826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7575053</v>
      </c>
      <c r="M10" s="30">
        <f t="shared" ca="1" si="4"/>
        <v>3942368.84</v>
      </c>
      <c r="N10" s="30">
        <f t="shared" ca="1" si="4"/>
        <v>3506939.54</v>
      </c>
      <c r="O10" s="29">
        <f t="shared" ca="1" si="1"/>
        <v>46.295907632593462</v>
      </c>
      <c r="P10" s="29">
        <f t="shared" ca="1" si="2"/>
        <v>88.955135410414826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7380053</v>
      </c>
      <c r="M12" s="38">
        <f t="shared" ca="1" si="6"/>
        <v>3747368.84</v>
      </c>
      <c r="N12" s="38">
        <f t="shared" ca="1" si="6"/>
        <v>3311939.54</v>
      </c>
      <c r="O12" s="38">
        <f t="shared" ca="1" si="1"/>
        <v>44.876907252563093</v>
      </c>
      <c r="P12" s="38">
        <f t="shared" ca="1" si="2"/>
        <v>88.380399192303685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5455653</v>
      </c>
      <c r="M14" s="38">
        <f t="shared" si="8"/>
        <v>0</v>
      </c>
      <c r="N14" s="38">
        <f t="shared" ca="1" si="8"/>
        <v>953089.82000000007</v>
      </c>
      <c r="O14" s="38">
        <f t="shared" ca="1" si="1"/>
        <v>17.469766130653838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4721775</v>
      </c>
      <c r="M18" s="23">
        <f t="shared" ca="1" si="11"/>
        <v>3942368.84</v>
      </c>
      <c r="N18" s="23">
        <f t="shared" ca="1" si="11"/>
        <v>2553849.7199999997</v>
      </c>
      <c r="O18" s="22">
        <f t="shared" ref="O18:O20" ca="1" si="12">IF(L18&gt;0,N18*100/L18,0)</f>
        <v>54.086645805867491</v>
      </c>
      <c r="P18" s="22">
        <f t="shared" ref="P18:P26" ca="1" si="13">IF(M18&gt;0,N18*100/M18,0)</f>
        <v>64.779573491150046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4721775</v>
      </c>
      <c r="M20" s="30">
        <f t="shared" ca="1" si="15"/>
        <v>3942368.84</v>
      </c>
      <c r="N20" s="30">
        <f t="shared" ca="1" si="15"/>
        <v>2553849.7199999997</v>
      </c>
      <c r="O20" s="29">
        <f t="shared" ca="1" si="12"/>
        <v>54.086645805867491</v>
      </c>
      <c r="P20" s="29">
        <f t="shared" ca="1" si="13"/>
        <v>64.779573491150046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4526775</v>
      </c>
      <c r="M22" s="41">
        <f t="shared" ca="1" si="18"/>
        <v>3747368.84</v>
      </c>
      <c r="N22" s="38">
        <f t="shared" ca="1" si="18"/>
        <v>2358849.7199999997</v>
      </c>
      <c r="O22" s="38">
        <f t="shared" ca="1" si="17"/>
        <v>52.108835097834543</v>
      </c>
      <c r="P22" s="38">
        <f t="shared" ca="1" si="13"/>
        <v>62.946825378416705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2602375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2853278</v>
      </c>
      <c r="M28" s="23">
        <f t="shared" si="23"/>
        <v>0</v>
      </c>
      <c r="N28" s="23">
        <f t="shared" ca="1" si="23"/>
        <v>953089.82000000007</v>
      </c>
      <c r="O28" s="22">
        <f t="shared" ref="O28:O30" ca="1" si="24">IF(L28&gt;0,N28*100/L28,0)</f>
        <v>33.403328382302739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2853278</v>
      </c>
      <c r="M30" s="30">
        <f t="shared" si="27"/>
        <v>0</v>
      </c>
      <c r="N30" s="30">
        <f t="shared" ca="1" si="27"/>
        <v>953089.82000000007</v>
      </c>
      <c r="O30" s="29">
        <f t="shared" ca="1" si="24"/>
        <v>33.403328382302739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2853278</v>
      </c>
      <c r="M32" s="38">
        <f t="shared" si="30"/>
        <v>0</v>
      </c>
      <c r="N32" s="38">
        <f t="shared" ca="1" si="30"/>
        <v>953089.82000000007</v>
      </c>
      <c r="O32" s="38">
        <f t="shared" ca="1" si="29"/>
        <v>33.403328382302739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2853278</v>
      </c>
      <c r="M34" s="38">
        <f t="shared" si="32"/>
        <v>0</v>
      </c>
      <c r="N34" s="38">
        <f t="shared" ca="1" si="32"/>
        <v>953089.82000000007</v>
      </c>
      <c r="O34" s="38">
        <f t="shared" ca="1" si="29"/>
        <v>33.403328382302739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4721775</v>
      </c>
      <c r="M37" s="54">
        <f t="shared" ca="1" si="33"/>
        <v>3942368.84</v>
      </c>
      <c r="N37" s="54">
        <f t="shared" ca="1" si="33"/>
        <v>2553849.7199999997</v>
      </c>
      <c r="O37" s="55">
        <f t="shared" ca="1" si="29"/>
        <v>54.086645805867491</v>
      </c>
      <c r="P37" s="55">
        <f t="shared" ca="1" si="25"/>
        <v>64.779573491150046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680200</v>
      </c>
      <c r="N41" s="78">
        <f t="shared" ca="1" si="34"/>
        <v>490006.2</v>
      </c>
      <c r="O41" s="77">
        <f t="shared" ref="O41:O43" ca="1" si="35">IF(L41&gt;0,N41*100/L41,0)</f>
        <v>54.030896460469734</v>
      </c>
      <c r="P41" s="77">
        <f t="shared" ref="P41:P43" ca="1" si="36">IF(M41&gt;0,N41*100/M41,0)</f>
        <v>72.038547486033522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680200</v>
      </c>
      <c r="N43" s="78">
        <f t="shared" ca="1" si="38"/>
        <v>490006.2</v>
      </c>
      <c r="O43" s="77">
        <f t="shared" ca="1" si="35"/>
        <v>54.030896460469734</v>
      </c>
      <c r="P43" s="77">
        <f t="shared" ca="1" si="36"/>
        <v>72.038547486033522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IFERROR(__xludf.DUMMYFUNCTION("IMPORTRANGE(""https://docs.google.com/spreadsheets/d/1Yj_ptqi66GCucihVvJfMjLAmec39IyEx_6qawtMGysU/edit?usp=sharing"",""สบก!Q75"")"),680200)</f>
        <v>680200</v>
      </c>
      <c r="N45" s="49">
        <f ca="1">IFERROR(__xludf.DUMMYFUNCTION("IMPORTRANGE(""https://docs.google.com/spreadsheets/d/1Yj_ptqi66GCucihVvJfMjLAmec39IyEx_6qawtMGysU/edit?usp=sharing"",""สบก!R75"")"),490006.2)</f>
        <v>490006.2</v>
      </c>
      <c r="O45" s="38">
        <f ca="1">IF(L45&gt;0,N45*100/L45,0)</f>
        <v>54.030896460469734</v>
      </c>
      <c r="P45" s="38">
        <f ca="1">IF(M45&gt;0,N45*100/M45,0)</f>
        <v>72.038547486033522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327168.84000000003</v>
      </c>
      <c r="N53" s="121">
        <f t="shared" ca="1" si="39"/>
        <v>269527.28000000003</v>
      </c>
      <c r="O53" s="120">
        <f t="shared" ref="O53:O55" ca="1" si="40">IF(L53&gt;0,N53*100/L53,0)</f>
        <v>67.381820000000005</v>
      </c>
      <c r="P53" s="120">
        <f t="shared" ref="P53:P55" ca="1" si="41">IF(M53&gt;0,N53*100/M53,0)</f>
        <v>82.381708478105679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327168.84000000003</v>
      </c>
      <c r="N55" s="121">
        <f t="shared" ca="1" si="43"/>
        <v>269527.28000000003</v>
      </c>
      <c r="O55" s="120">
        <f t="shared" ca="1" si="40"/>
        <v>67.381820000000005</v>
      </c>
      <c r="P55" s="120">
        <f t="shared" ca="1" si="41"/>
        <v>82.381708478105679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IFERROR(__xludf.DUMMYFUNCTION("IMPORTRANGE(""https://docs.google.com/spreadsheets/d/1Yj_ptqi66GCucihVvJfMjLAmec39IyEx_6qawtMGysU/edit?usp=sharing"",""สบก!Z75"")"),327168.84)</f>
        <v>327168.84000000003</v>
      </c>
      <c r="N57" s="49">
        <f ca="1">IFERROR(__xludf.DUMMYFUNCTION("IMPORTRANGE(""https://docs.google.com/spreadsheets/d/1Yj_ptqi66GCucihVvJfMjLAmec39IyEx_6qawtMGysU/edit?usp=sharing"",""สบก!AA75"")"),269527.28)</f>
        <v>269527.28000000003</v>
      </c>
      <c r="O57" s="38">
        <f ca="1">IF(L57&gt;0,N57*100/L57,0)</f>
        <v>67.381820000000005</v>
      </c>
      <c r="P57" s="38">
        <f ca="1">IF(M57&gt;0,N57*100/M57,0)</f>
        <v>82.381708478105679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710220</v>
      </c>
      <c r="N66" s="152">
        <f t="shared" ca="1" si="45"/>
        <v>297829.45999999996</v>
      </c>
      <c r="O66" s="151">
        <f t="shared" ref="O66:O68" ca="1" si="46">IF(L66&gt;0,N66*100/L66,0)</f>
        <v>35.991475528700903</v>
      </c>
      <c r="P66" s="151">
        <f t="shared" ref="P66:P68" ca="1" si="47">IF(M66&gt;0,N66*100/M66,0)</f>
        <v>41.934817380529971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710220</v>
      </c>
      <c r="N68" s="157">
        <f t="shared" ca="1" si="49"/>
        <v>297829.45999999996</v>
      </c>
      <c r="O68" s="156">
        <f t="shared" ca="1" si="46"/>
        <v>35.991475528700903</v>
      </c>
      <c r="P68" s="156">
        <f t="shared" ca="1" si="47"/>
        <v>41.934817380529971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779500</v>
      </c>
      <c r="M70" s="168">
        <f ca="1">IFERROR(__xludf.DUMMYFUNCTION("IMPORTRANGE(""https://docs.google.com/spreadsheets/d/1Yj_ptqi66GCucihVvJfMjLAmec39IyEx_6qawtMGysU/edit?usp=sharing"",""สบก!AI75"")"),662220)</f>
        <v>662220</v>
      </c>
      <c r="N70" s="169">
        <f ca="1">IFERROR(__xludf.DUMMYFUNCTION("IMPORTRANGE(""https://docs.google.com/spreadsheets/d/1Yj_ptqi66GCucihVvJfMjLAmec39IyEx_6qawtMGysU/edit?usp=sharing"",""สบก!AJ75"")"),249829.46)</f>
        <v>249829.46</v>
      </c>
      <c r="O70" s="169">
        <f ca="1">IF(L70&gt;0,N70*100/L70,0)</f>
        <v>32.049962796664531</v>
      </c>
      <c r="P70" s="169">
        <f ca="1">IF(M70&gt;0,N70*100/M70,0)</f>
        <v>37.726051765274377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IFERROR(__xludf.DUMMYFUNCTION("IMPORTRANGE(""https://docs.google.com/spreadsheets/d/1Yj_ptqi66GCucihVvJfMjLAmec39IyEx_6qawtMGysU/edit?usp=sharing"",""สบก!AF75"")"),600000)</f>
        <v>600000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IFERROR(__xludf.DUMMYFUNCTION("IMPORTRANGE(""https://docs.google.com/spreadsheets/d/1SX6NBoVAgQJ6U1MVXOaj8PK2l7WJ3RER9xtqwdhxkhw/edit?usp=sharing"",""สระแก้ว!I28"")"),70)</f>
        <v>70</v>
      </c>
      <c r="J88" s="204">
        <f ca="1">IFERROR(__xludf.DUMMYFUNCTION("IMPORTRANGE(""https://docs.google.com/spreadsheets/d/1SX6NBoVAgQJ6U1MVXOaj8PK2l7WJ3RER9xtqwdhxkhw/edit?usp=sharing"",""สระแก้ว!J28"")"),0)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IFERROR(__xludf.DUMMYFUNCTION("IMPORTRANGE(""https://docs.google.com/spreadsheets/d/1SX6NBoVAgQJ6U1MVXOaj8PK2l7WJ3RER9xtqwdhxkhw/edit?usp=sharing"",""สระแก้ว!J50"")"),0)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293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IFERROR(__xludf.DUMMYFUNCTION("IMPORTRANGE(""https://docs.google.com/spreadsheets/d/1SX6NBoVAgQJ6U1MVXOaj8PK2l7WJ3RER9xtqwdhxkhw/edit?usp=sharing"",""สระแก้ว!J65"")"),0)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IFERROR(__xludf.DUMMYFUNCTION("IMPORTRANGE(""https://docs.google.com/spreadsheets/d/1SX6NBoVAgQJ6U1MVXOaj8PK2l7WJ3RER9xtqwdhxkhw/edit?usp=sharing"",""สระแก้ว!I68"")"),60)</f>
        <v>60</v>
      </c>
      <c r="J138" s="267">
        <f ca="1">IFERROR(__xludf.DUMMYFUNCTION("IMPORTRANGE(""https://docs.google.com/spreadsheets/d/1SX6NBoVAgQJ6U1MVXOaj8PK2l7WJ3RER9xtqwdhxkhw/edit?usp=sharing"",""สระแก้ว!J68"")"),60)</f>
        <v>60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401725</v>
      </c>
      <c r="N140" s="152">
        <f t="shared" ca="1" si="64"/>
        <v>300539.01</v>
      </c>
      <c r="O140" s="151">
        <f t="shared" ref="O140:O142" ca="1" si="65">IF(L140&gt;0,N140*100/L140,0)</f>
        <v>62.729912335629308</v>
      </c>
      <c r="P140" s="151">
        <f t="shared" ref="P140:P142" ca="1" si="66">IF(M140&gt;0,N140*100/M140,0)</f>
        <v>74.812125210031738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401725</v>
      </c>
      <c r="N142" s="157">
        <f t="shared" ca="1" si="68"/>
        <v>300539.01</v>
      </c>
      <c r="O142" s="156">
        <f t="shared" ca="1" si="65"/>
        <v>62.729912335629308</v>
      </c>
      <c r="P142" s="156">
        <f t="shared" ca="1" si="66"/>
        <v>74.812125210031738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IFERROR(__xludf.DUMMYFUNCTION("IMPORTRANGE(""https://docs.google.com/spreadsheets/d/1Yj_ptqi66GCucihVvJfMjLAmec39IyEx_6qawtMGysU/edit?usp=sharing"",""สบก!BJ75"")"),401725)</f>
        <v>401725</v>
      </c>
      <c r="N144" s="169">
        <f ca="1">IFERROR(__xludf.DUMMYFUNCTION("IMPORTRANGE(""https://docs.google.com/spreadsheets/d/1Yj_ptqi66GCucihVvJfMjLAmec39IyEx_6qawtMGysU/edit?usp=sharing"",""สบก!BK75"")"),300539.01)</f>
        <v>300539.01</v>
      </c>
      <c r="O144" s="169">
        <f ca="1">IF(L144&gt;0,N144*100/L144,0)</f>
        <v>62.729912335629308</v>
      </c>
      <c r="P144" s="169">
        <f ca="1">IF(M144&gt;0,N144*100/M144,0)</f>
        <v>74.812125210031738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IFERROR(__xludf.DUMMYFUNCTION("IMPORTRANGE(""https://docs.google.com/spreadsheets/d/1SX6NBoVAgQJ6U1MVXOaj8PK2l7WJ3RER9xtqwdhxkhw/edit?usp=sharing"",""สระแก้ว!I74"")"),4)</f>
        <v>4</v>
      </c>
      <c r="J149" s="275">
        <f ca="1">IFERROR(__xludf.DUMMYFUNCTION("IMPORTRANGE(""https://docs.google.com/spreadsheets/d/1SX6NBoVAgQJ6U1MVXOaj8PK2l7WJ3RER9xtqwdhxkhw/edit?usp=sharing"",""สระแก้ว!J74"")"),2)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IFERROR(__xludf.DUMMYFUNCTION("IMPORTRANGE(""https://docs.google.com/spreadsheets/d/1SX6NBoVAgQJ6U1MVXOaj8PK2l7WJ3RER9xtqwdhxkhw/edit?usp=sharing"",""สระแก้ว!J88"")"),0)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IFERROR(__xludf.DUMMYFUNCTION("IMPORTRANGE(""https://docs.google.com/spreadsheets/d/1SX6NBoVAgQJ6U1MVXOaj8PK2l7WJ3RER9xtqwdhxkhw/edit?usp=sharing"",""สระแก้ว!I89"")"),3)</f>
        <v>3</v>
      </c>
      <c r="J164" s="284">
        <f ca="1">IFERROR(__xludf.DUMMYFUNCTION("IMPORTRANGE(""https://docs.google.com/spreadsheets/d/1SX6NBoVAgQJ6U1MVXOaj8PK2l7WJ3RER9xtqwdhxkhw/edit?usp=sharing"",""สระแก้ว!J89"")"),3)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IFERROR(__xludf.DUMMYFUNCTION("IMPORTRANGE(""https://docs.google.com/spreadsheets/d/1SX6NBoVAgQJ6U1MVXOaj8PK2l7WJ3RER9xtqwdhxkhw/edit?usp=sharing"",""สระแก้ว!J100"")"),0)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IFERROR(__xludf.DUMMYFUNCTION("IMPORTRANGE(""https://docs.google.com/spreadsheets/d/1SX6NBoVAgQJ6U1MVXOaj8PK2l7WJ3RER9xtqwdhxkhw/edit?usp=sharing"",""สระแก้ว!I101"")"),6)</f>
        <v>6</v>
      </c>
      <c r="J176" s="284">
        <f ca="1">IFERROR(__xludf.DUMMYFUNCTION("IMPORTRANGE(""https://docs.google.com/spreadsheets/d/1SX6NBoVAgQJ6U1MVXOaj8PK2l7WJ3RER9xtqwdhxkhw/edit?usp=sharing"",""สระแก้ว!J101"")"),6)</f>
        <v>6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IFERROR(__xludf.DUMMYFUNCTION("IMPORTRANGE(""https://docs.google.com/spreadsheets/d/1SX6NBoVAgQJ6U1MVXOaj8PK2l7WJ3RER9xtqwdhxkhw/edit?usp=sharing"",""สระแก้ว!J113"")"),0)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IFERROR(__xludf.DUMMYFUNCTION("IMPORTRANGE(""https://docs.google.com/spreadsheets/d/1SX6NBoVAgQJ6U1MVXOaj8PK2l7WJ3RER9xtqwdhxkhw/edit?usp=sharing"",""สระแก้ว!I114"")"),40000)</f>
        <v>40000</v>
      </c>
      <c r="J189" s="284">
        <f ca="1">IFERROR(__xludf.DUMMYFUNCTION("IMPORTRANGE(""https://docs.google.com/spreadsheets/d/1SX6NBoVAgQJ6U1MVXOaj8PK2l7WJ3RER9xtqwdhxkhw/edit?usp=sharing"",""สระแก้ว!J114"")"),0)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IFERROR(__xludf.DUMMYFUNCTION("IMPORTRANGE(""https://docs.google.com/spreadsheets/d/1SX6NBoVAgQJ6U1MVXOaj8PK2l7WJ3RER9xtqwdhxkhw/edit?usp=sharing"",""สระแก้ว!J128"")"),0)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IFERROR(__xludf.DUMMYFUNCTION("IMPORTRANGE(""https://docs.google.com/spreadsheets/d/1SX6NBoVAgQJ6U1MVXOaj8PK2l7WJ3RER9xtqwdhxkhw/edit?usp=sharing"",""สระแก้ว!I129"")"),60)</f>
        <v>60</v>
      </c>
      <c r="J204" s="284">
        <f ca="1">IFERROR(__xludf.DUMMYFUNCTION("IMPORTRANGE(""https://docs.google.com/spreadsheets/d/1SX6NBoVAgQJ6U1MVXOaj8PK2l7WJ3RER9xtqwdhxkhw/edit?usp=sharing"",""สระแก้ว!J129"")"),60)</f>
        <v>60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IFERROR(__xludf.DUMMYFUNCTION("IMPORTRANGE(""https://docs.google.com/spreadsheets/d/1SX6NBoVAgQJ6U1MVXOaj8PK2l7WJ3RER9xtqwdhxkhw/edit?usp=sharing"",""สระแก้ว!J143"")"),0)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IFERROR(__xludf.DUMMYFUNCTION("IMPORTRANGE(""https://docs.google.com/spreadsheets/d/1SX6NBoVAgQJ6U1MVXOaj8PK2l7WJ3RER9xtqwdhxkhw/edit?usp=sharing"",""สระแก้ว!I144"")"),13)</f>
        <v>13</v>
      </c>
      <c r="J219" s="267">
        <f ca="1">IFERROR(__xludf.DUMMYFUNCTION("IMPORTRANGE(""https://docs.google.com/spreadsheets/d/1SX6NBoVAgQJ6U1MVXOaj8PK2l7WJ3RER9xtqwdhxkhw/edit?usp=sharing"",""สระแก้ว!J144"")"),13)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IFERROR(__xludf.DUMMYFUNCTION("IMPORTRANGE(""https://docs.google.com/spreadsheets/d/1SX6NBoVAgQJ6U1MVXOaj8PK2l7WJ3RER9xtqwdhxkhw/edit?usp=sharing"",""สระแก้ว!I149"")"),13)</f>
        <v>13</v>
      </c>
      <c r="J229" s="267">
        <f ca="1">IFERROR(__xludf.DUMMYFUNCTION("IMPORTRANGE(""https://docs.google.com/spreadsheets/d/1SX6NBoVAgQJ6U1MVXOaj8PK2l7WJ3RER9xtqwdhxkhw/edit?usp=sharing"",""สระแก้ว!J149"")"),13)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IFERROR(__xludf.DUMMYFUNCTION("IMPORTRANGE(""https://docs.google.com/spreadsheets/d/1SX6NBoVAgQJ6U1MVXOaj8PK2l7WJ3RER9xtqwdhxkhw/edit?usp=sharing"",""สระแก้ว!J157"")"),0)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IFERROR(__xludf.DUMMYFUNCTION("IMPORTRANGE(""https://docs.google.com/spreadsheets/d/1SX6NBoVAgQJ6U1MVXOaj8PK2l7WJ3RER9xtqwdhxkhw/edit?usp=sharing"",""สระแก้ว!I158"")"),0)</f>
        <v>0</v>
      </c>
      <c r="J238" s="267">
        <f ca="1">IFERROR(__xludf.DUMMYFUNCTION("IMPORTRANGE(""https://docs.google.com/spreadsheets/d/1SX6NBoVAgQJ6U1MVXOaj8PK2l7WJ3RER9xtqwdhxkhw/edit?usp=sharing"",""สระแก้ว!J158"")"),0)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IFERROR(__xludf.DUMMYFUNCTION("IMPORTRANGE(""https://docs.google.com/spreadsheets/d/1SX6NBoVAgQJ6U1MVXOaj8PK2l7WJ3RER9xtqwdhxkhw/edit?usp=sharing"",""สระแก้ว!J166"")"),0)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IFERROR(__xludf.DUMMYFUNCTION("IMPORTRANGE(""https://docs.google.com/spreadsheets/d/1SX6NBoVAgQJ6U1MVXOaj8PK2l7WJ3RER9xtqwdhxkhw/edit?usp=sharing"",""สระแก้ว!I169"")"),0)</f>
        <v>0</v>
      </c>
      <c r="J249" s="316">
        <f ca="1">IFERROR(__xludf.DUMMYFUNCTION("IMPORTRANGE(""https://docs.google.com/spreadsheets/d/1SX6NBoVAgQJ6U1MVXOaj8PK2l7WJ3RER9xtqwdhxkhw/edit?usp=sharing"",""สระแก้ว!J169"")"),0)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IFERROR(__xludf.DUMMYFUNCTION("IMPORTRANGE(""https://docs.google.com/spreadsheets/d/1SX6NBoVAgQJ6U1MVXOaj8PK2l7WJ3RER9xtqwdhxkhw/edit?usp=sharing"",""สระแก้ว!J184"")"),0)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IFERROR(__xludf.DUMMYFUNCTION("IMPORTRANGE(""https://docs.google.com/spreadsheets/d/1SX6NBoVAgQJ6U1MVXOaj8PK2l7WJ3RER9xtqwdhxkhw/edit?usp=sharing"",""สระแก้ว!I185"")"),15)</f>
        <v>15</v>
      </c>
      <c r="J270" s="316">
        <f ca="1">IFERROR(__xludf.DUMMYFUNCTION("IMPORTRANGE(""https://docs.google.com/spreadsheets/d/1SX6NBoVAgQJ6U1MVXOaj8PK2l7WJ3RER9xtqwdhxkhw/edit?usp=sharing"",""สระแก้ว!J185"")"),15)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19280</v>
      </c>
      <c r="O271" s="151">
        <f t="shared" ref="O271:O273" ca="1" si="84">IF(L271&gt;0,N271*100/L271,0)</f>
        <v>34.927536231884055</v>
      </c>
      <c r="P271" s="151">
        <f t="shared" ref="P271:P273" ca="1" si="85">IF(M271&gt;0,N271*100/M271,0)</f>
        <v>59.782945736434108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19280</v>
      </c>
      <c r="O273" s="156">
        <f t="shared" ca="1" si="84"/>
        <v>34.927536231884055</v>
      </c>
      <c r="P273" s="156">
        <f t="shared" ca="1" si="85"/>
        <v>59.782945736434108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IFERROR(__xludf.DUMMYFUNCTION("IMPORTRANGE(""https://docs.google.com/spreadsheets/d/1Yj_ptqi66GCucihVvJfMjLAmec39IyEx_6qawtMGysU/edit?usp=sharing"",""สบก!CK75"")"),32250)</f>
        <v>32250</v>
      </c>
      <c r="N275" s="169">
        <f ca="1">IFERROR(__xludf.DUMMYFUNCTION("IMPORTRANGE(""https://docs.google.com/spreadsheets/d/1Yj_ptqi66GCucihVvJfMjLAmec39IyEx_6qawtMGysU/edit?usp=sharing"",""สบก!CL75"")"),19280)</f>
        <v>19280</v>
      </c>
      <c r="O275" s="169">
        <f ca="1">IF(L275&gt;0,N275*100/L275,0)</f>
        <v>34.927536231884055</v>
      </c>
      <c r="P275" s="169">
        <f ca="1">IF(M275&gt;0,N275*100/M275,0)</f>
        <v>59.782945736434108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IFERROR(__xludf.DUMMYFUNCTION("IMPORTRANGE(""https://docs.google.com/spreadsheets/d/1SX6NBoVAgQJ6U1MVXOaj8PK2l7WJ3RER9xtqwdhxkhw/edit?usp=sharing"",""สระแก้ว!J197"")"),0)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IFERROR(__xludf.DUMMYFUNCTION("IMPORTRANGE(""https://docs.google.com/spreadsheets/d/1SX6NBoVAgQJ6U1MVXOaj8PK2l7WJ3RER9xtqwdhxkhw/edit?usp=sharing"",""สระแก้ว!I199"")"),40)</f>
        <v>40</v>
      </c>
      <c r="J289" s="316">
        <f ca="1">IFERROR(__xludf.DUMMYFUNCTION("IMPORTRANGE(""https://docs.google.com/spreadsheets/d/1SX6NBoVAgQJ6U1MVXOaj8PK2l7WJ3RER9xtqwdhxkhw/edit?usp=sharing"",""สระแก้ว!J199"")"),40)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58020</v>
      </c>
      <c r="O290" s="151">
        <f t="shared" ref="O290:O292" ca="1" si="89">IF(L290&gt;0,N290*100/L290,0)</f>
        <v>46.926560983500487</v>
      </c>
      <c r="P290" s="151">
        <f t="shared" ref="P290:P292" ca="1" si="90">IF(M290&gt;0,N290*100/M290,0)</f>
        <v>46.926560983500487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58020</v>
      </c>
      <c r="O292" s="156">
        <f t="shared" ca="1" si="89"/>
        <v>46.926560983500487</v>
      </c>
      <c r="P292" s="156">
        <f t="shared" ca="1" si="90"/>
        <v>46.926560983500487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IFERROR(__xludf.DUMMYFUNCTION("IMPORTRANGE(""https://docs.google.com/spreadsheets/d/1Yj_ptqi66GCucihVvJfMjLAmec39IyEx_6qawtMGysU/edit?usp=sharing"",""สบก!CU75"")"),58020)</f>
        <v>58020</v>
      </c>
      <c r="O294" s="169">
        <f ca="1">IF(L294&gt;0,N294*100/L294,0)</f>
        <v>46.926560983500487</v>
      </c>
      <c r="P294" s="169">
        <f ca="1">IF(M294&gt;0,N294*100/M294,0)</f>
        <v>46.926560983500487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IFERROR(__xludf.DUMMYFUNCTION("IMPORTRANGE(""https://docs.google.com/spreadsheets/d/1SX6NBoVAgQJ6U1MVXOaj8PK2l7WJ3RER9xtqwdhxkhw/edit?usp=sharing"",""สระแก้ว!J213"")"),0)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IFERROR(__xludf.DUMMYFUNCTION("IMPORTRANGE(""https://docs.google.com/spreadsheets/d/1SX6NBoVAgQJ6U1MVXOaj8PK2l7WJ3RER9xtqwdhxkhw/edit?usp=sharing"",""สระแก้ว!I214"")"),10)</f>
        <v>10</v>
      </c>
      <c r="J309" s="333">
        <f ca="1">IFERROR(__xludf.DUMMYFUNCTION("IMPORTRANGE(""https://docs.google.com/spreadsheets/d/1SX6NBoVAgQJ6U1MVXOaj8PK2l7WJ3RER9xtqwdhxkhw/edit?usp=sharing"",""สระแก้ว!J214"")"),5)</f>
        <v>5</v>
      </c>
      <c r="K309" s="334">
        <f ca="1">IF(I309&gt;0,J309*100/I309,0)</f>
        <v>50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395600</v>
      </c>
      <c r="M310" s="152">
        <f t="shared" ca="1" si="93"/>
        <v>296700</v>
      </c>
      <c r="N310" s="152">
        <f t="shared" ca="1" si="93"/>
        <v>98220</v>
      </c>
      <c r="O310" s="151">
        <f t="shared" ref="O310:O312" ca="1" si="94">IF(L310&gt;0,N310*100/L310,0)</f>
        <v>24.828109201213348</v>
      </c>
      <c r="P310" s="151">
        <f t="shared" ref="P310:P312" ca="1" si="95">IF(M310&gt;0,N310*100/M310,0)</f>
        <v>33.104145601617795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395600</v>
      </c>
      <c r="M312" s="157">
        <f t="shared" ca="1" si="97"/>
        <v>296700</v>
      </c>
      <c r="N312" s="157">
        <f t="shared" ca="1" si="97"/>
        <v>98220</v>
      </c>
      <c r="O312" s="156">
        <f t="shared" ca="1" si="94"/>
        <v>24.828109201213348</v>
      </c>
      <c r="P312" s="156">
        <f t="shared" ca="1" si="95"/>
        <v>33.104145601617795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IFERROR(__xludf.DUMMYFUNCTION("IMPORTRANGE(""https://docs.google.com/spreadsheets/d/1Yj_ptqi66GCucihVvJfMjLAmec39IyEx_6qawtMGysU/edit?usp=sharing"",""สบก!DC75"")"),296700)</f>
        <v>296700</v>
      </c>
      <c r="N314" s="169">
        <f ca="1">IFERROR(__xludf.DUMMYFUNCTION("IMPORTRANGE(""https://docs.google.com/spreadsheets/d/1Yj_ptqi66GCucihVvJfMjLAmec39IyEx_6qawtMGysU/edit?usp=sharing"",""สบก!DD75"")"),98220)</f>
        <v>98220</v>
      </c>
      <c r="O314" s="169">
        <f ca="1">IF(L314&gt;0,N314*100/L314,0)</f>
        <v>24.828109201213348</v>
      </c>
      <c r="P314" s="169">
        <f ca="1">IF(M314&gt;0,N314*100/M314,0)</f>
        <v>33.104145601617795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IFERROR(__xludf.DUMMYFUNCTION("IMPORTRANGE(""https://docs.google.com/spreadsheets/d/1SX6NBoVAgQJ6U1MVXOaj8PK2l7WJ3RER9xtqwdhxkhw/edit?usp=sharing"",""สระแก้ว!J222"")"),1)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IFERROR(__xludf.DUMMYFUNCTION("IMPORTRANGE(""https://docs.google.com/spreadsheets/d/1SX6NBoVAgQJ6U1MVXOaj8PK2l7WJ3RER9xtqwdhxkhw/edit?usp=sharing"",""สระแก้ว!J223"")"),1)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IFERROR(__xludf.DUMMYFUNCTION("IMPORTRANGE(""https://docs.google.com/spreadsheets/d/1SX6NBoVAgQJ6U1MVXOaj8PK2l7WJ3RER9xtqwdhxkhw/edit?usp=sharing"",""สระแก้ว!J224"")"),5)</f>
        <v>5</v>
      </c>
      <c r="K324" s="224">
        <f ca="1">IF(I324&gt;0,J324*100/I324,0)</f>
        <v>50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IFERROR(__xludf.DUMMYFUNCTION("IMPORTRANGE(""https://docs.google.com/spreadsheets/d/1SX6NBoVAgQJ6U1MVXOaj8PK2l7WJ3RER9xtqwdhxkhw/edit?usp=sharing"",""สระแก้ว!J226"")"),0)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IFERROR(__xludf.DUMMYFUNCTION("IMPORTRANGE(""https://docs.google.com/spreadsheets/d/1SX6NBoVAgQJ6U1MVXOaj8PK2l7WJ3RER9xtqwdhxkhw/edit?usp=sharing"",""สระแก้ว!I228"")"),955)</f>
        <v>955</v>
      </c>
      <c r="J328" s="339">
        <f ca="1">IFERROR(__xludf.DUMMYFUNCTION("IMPORTRANGE(""https://docs.google.com/spreadsheets/d/1SX6NBoVAgQJ6U1MVXOaj8PK2l7WJ3RER9xtqwdhxkhw/edit?usp=sharing"",""สระแก้ว!J228"")"),600)</f>
        <v>600</v>
      </c>
      <c r="K328" s="317">
        <f ca="1">IF(I328&gt;0,J328*100/I328,0)</f>
        <v>62.827225130890049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1514540</v>
      </c>
      <c r="M329" s="152">
        <f t="shared" ca="1" si="98"/>
        <v>1351170</v>
      </c>
      <c r="N329" s="152">
        <f t="shared" ca="1" si="98"/>
        <v>1001132.77</v>
      </c>
      <c r="O329" s="151">
        <f t="shared" ref="O329:O331" ca="1" si="99">IF(L329&gt;0,N329*100/L329,0)</f>
        <v>66.101441361733592</v>
      </c>
      <c r="P329" s="151">
        <f t="shared" ref="P329:P331" ca="1" si="100">IF(M329&gt;0,N329*100/M329,0)</f>
        <v>74.093768363714418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1514540</v>
      </c>
      <c r="M331" s="157">
        <f t="shared" ca="1" si="102"/>
        <v>1351170</v>
      </c>
      <c r="N331" s="157">
        <f t="shared" ca="1" si="102"/>
        <v>1001132.77</v>
      </c>
      <c r="O331" s="156">
        <f t="shared" ca="1" si="99"/>
        <v>66.101441361733592</v>
      </c>
      <c r="P331" s="156">
        <f t="shared" ca="1" si="100"/>
        <v>74.093768363714418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1367540</v>
      </c>
      <c r="M333" s="168">
        <f ca="1">IFERROR(__xludf.DUMMYFUNCTION("IMPORTRANGE(""https://docs.google.com/spreadsheets/d/1Yj_ptqi66GCucihVvJfMjLAmec39IyEx_6qawtMGysU/edit?usp=sharing"",""สบก!DL75"")"),1204170)</f>
        <v>1204170</v>
      </c>
      <c r="N333" s="169">
        <f ca="1">IFERROR(__xludf.DUMMYFUNCTION("IMPORTRANGE(""https://docs.google.com/spreadsheets/d/1Yj_ptqi66GCucihVvJfMjLAmec39IyEx_6qawtMGysU/edit?usp=sharing"",""สบก!DM75"")"),854132.77)</f>
        <v>854132.77</v>
      </c>
      <c r="O333" s="169">
        <f ca="1">IF(L333&gt;0,N333*100/L333,0)</f>
        <v>62.457607821343437</v>
      </c>
      <c r="P333" s="169">
        <f ca="1">IF(M333&gt;0,N333*100/M333,0)</f>
        <v>70.931244757799973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IFERROR(__xludf.DUMMYFUNCTION("IMPORTRANGE(""https://docs.google.com/spreadsheets/d/1Yj_ptqi66GCucihVvJfMjLAmec39IyEx_6qawtMGysU/edit?usp=sharing"",""สบก!DI75"")"),1061540)</f>
        <v>1061540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IFERROR(__xludf.DUMMYFUNCTION("IMPORTRANGE(""https://docs.google.com/spreadsheets/d/1SX6NBoVAgQJ6U1MVXOaj8PK2l7WJ3RER9xtqwdhxkhw/edit?usp=sharing"",""สระแก้ว!J234"")"),449)</f>
        <v>449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IFERROR(__xludf.DUMMYFUNCTION("IMPORTRANGE(""https://docs.google.com/spreadsheets/d/1SX6NBoVAgQJ6U1MVXOaj8PK2l7WJ3RER9xtqwdhxkhw/edit?usp=sharing"",""สระแก้ว!J235"")"),5135.07)</f>
        <v>5135.07</v>
      </c>
      <c r="K340" s="342">
        <f t="shared" ca="1" si="103"/>
        <v>58.888417431192657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IFERROR(__xludf.DUMMYFUNCTION("IMPORTRANGE(""https://docs.google.com/spreadsheets/d/1SX6NBoVAgQJ6U1MVXOaj8PK2l7WJ3RER9xtqwdhxkhw/edit?usp=sharing"",""สระแก้ว!I236"")"),955)</f>
        <v>955</v>
      </c>
      <c r="J341" s="188">
        <f ca="1">IFERROR(__xludf.DUMMYFUNCTION("IMPORTRANGE(""https://docs.google.com/spreadsheets/d/1SX6NBoVAgQJ6U1MVXOaj8PK2l7WJ3RER9xtqwdhxkhw/edit?usp=sharing"",""สระแก้ว!J236"")"),651)</f>
        <v>651</v>
      </c>
      <c r="K341" s="342">
        <f t="shared" ca="1" si="103"/>
        <v>68.167539267015712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IFERROR(__xludf.DUMMYFUNCTION("IMPORTRANGE(""https://docs.google.com/spreadsheets/d/1SX6NBoVAgQJ6U1MVXOaj8PK2l7WJ3RER9xtqwdhxkhw/edit?usp=sharing"",""สระแก้ว!J237"")"),9302.69999999999)</f>
        <v>9302.6999999999898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IFERROR(__xludf.DUMMYFUNCTION("IMPORTRANGE(""https://docs.google.com/spreadsheets/d/1SX6NBoVAgQJ6U1MVXOaj8PK2l7WJ3RER9xtqwdhxkhw/edit?usp=sharing"",""สระแก้ว!I238"")"),955)</f>
        <v>955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IFERROR(__xludf.DUMMYFUNCTION("IMPORTRANGE(""https://docs.google.com/spreadsheets/d/1SX6NBoVAgQJ6U1MVXOaj8PK2l7WJ3RER9xtqwdhxkhw/edit?usp=sharing"",""สระแก้ว!I240"")"),955)</f>
        <v>955</v>
      </c>
      <c r="J345" s="188">
        <f ca="1">IFERROR(__xludf.DUMMYFUNCTION("IMPORTRANGE(""https://docs.google.com/spreadsheets/d/1SX6NBoVAgQJ6U1MVXOaj8PK2l7WJ3RER9xtqwdhxkhw/edit?usp=sharing"",""สระแก้ว!J240"")"),600)</f>
        <v>600</v>
      </c>
      <c r="K345" s="342">
        <f t="shared" ca="1" si="103"/>
        <v>62.827225130890049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IFERROR(__xludf.DUMMYFUNCTION("IMPORTRANGE(""https://docs.google.com/spreadsheets/d/1SX6NBoVAgQJ6U1MVXOaj8PK2l7WJ3RER9xtqwdhxkhw/edit?usp=sharing"",""สระแก้ว!J241"")"),8684.45)</f>
        <v>8684.4500000000007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IFERROR(__xludf.DUMMYFUNCTION("IMPORTRANGE(""https://docs.google.com/spreadsheets/d/1SX6NBoVAgQJ6U1MVXOaj8PK2l7WJ3RER9xtqwdhxkhw/edit?usp=sharing"",""สระแก้ว!L242"")"),2853278)</f>
        <v>2853278</v>
      </c>
      <c r="M347" s="358"/>
      <c r="N347" s="358">
        <f ca="1">IFERROR(__xludf.DUMMYFUNCTION("IMPORTRANGE(""https://docs.google.com/spreadsheets/d/1SX6NBoVAgQJ6U1MVXOaj8PK2l7WJ3RER9xtqwdhxkhw/edit?usp=sharing"",""สระแก้ว!M242"")"),953089.82)</f>
        <v>953089.82</v>
      </c>
      <c r="O347" s="358">
        <f ca="1">+IF(L347&gt;0,N347*100/L347,0)</f>
        <v>33.403328382302739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IFERROR(__xludf.DUMMYFUNCTION("IMPORTRANGE(""https://docs.google.com/spreadsheets/d/1SX6NBoVAgQJ6U1MVXOaj8PK2l7WJ3RER9xtqwdhxkhw/edit?usp=sharing"",""สระแก้ว!M275"")"),290519.17)</f>
        <v>290519.17</v>
      </c>
      <c r="O380" s="373">
        <f ca="1">+IF(L380&gt;0,N380*100/L380,0)</f>
        <v>28.246331622136662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IFERROR(__xludf.DUMMYFUNCTION("IMPORTRANGE(""https://docs.google.com/spreadsheets/d/1SX6NBoVAgQJ6U1MVXOaj8PK2l7WJ3RER9xtqwdhxkhw/edit?usp=sharing"",""สระแก้ว!M278"")"),290519.17)</f>
        <v>290519.17</v>
      </c>
      <c r="O383" s="165">
        <f t="shared" ca="1" si="109"/>
        <v>28.246331622136662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IFERROR(__xludf.DUMMYFUNCTION("IMPORTRANGE(""https://docs.google.com/spreadsheets/d/1SX6NBoVAgQJ6U1MVXOaj8PK2l7WJ3RER9xtqwdhxkhw/edit?usp=sharing"",""สระแก้ว!M280"")"),290519.17)</f>
        <v>290519.17</v>
      </c>
      <c r="O385" s="169">
        <f t="shared" ca="1" si="109"/>
        <v>28.246331622136662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IFERROR(__xludf.DUMMYFUNCTION("IMPORTRANGE(""https://docs.google.com/spreadsheets/d/1SX6NBoVAgQJ6U1MVXOaj8PK2l7WJ3RER9xtqwdhxkhw/edit?usp=sharing"",""สระแก้ว!M281"")"),166980)</f>
        <v>166980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IFERROR(__xludf.DUMMYFUNCTION("IMPORTRANGE(""https://docs.google.com/spreadsheets/d/1SX6NBoVAgQJ6U1MVXOaj8PK2l7WJ3RER9xtqwdhxkhw/edit?usp=sharing"",""สระแก้ว!M283"")"),71639.17)</f>
        <v>71639.17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IFERROR(__xludf.DUMMYFUNCTION("IMPORTRANGE(""https://docs.google.com/spreadsheets/d/1SX6NBoVAgQJ6U1MVXOaj8PK2l7WJ3RER9xtqwdhxkhw/edit?usp=sharing"",""สระแก้ว!M284"")"),51900)</f>
        <v>51900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IFERROR(__xludf.DUMMYFUNCTION("IMPORTRANGE(""https://docs.google.com/spreadsheets/d/1SX6NBoVAgQJ6U1MVXOaj8PK2l7WJ3RER9xtqwdhxkhw/edit?usp=sharing"",""สระแก้ว!J295"")"),0)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IFERROR(__xludf.DUMMYFUNCTION("IMPORTRANGE(""https://docs.google.com/spreadsheets/d/1SX6NBoVAgQJ6U1MVXOaj8PK2l7WJ3RER9xtqwdhxkhw/edit?usp=sharing"",""สระแก้ว!M296"")"),120564)</f>
        <v>120564</v>
      </c>
      <c r="O401" s="373">
        <f ca="1">+IF(L401&gt;0,N401*100/L401,0)</f>
        <v>61.318278913640526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IFERROR(__xludf.DUMMYFUNCTION("IMPORTRANGE(""https://docs.google.com/spreadsheets/d/1SX6NBoVAgQJ6U1MVXOaj8PK2l7WJ3RER9xtqwdhxkhw/edit?usp=sharing"",""สระแก้ว!M299"")"),120564)</f>
        <v>120564</v>
      </c>
      <c r="O404" s="169">
        <f t="shared" ca="1" si="112"/>
        <v>61.318278913640526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IFERROR(__xludf.DUMMYFUNCTION("IMPORTRANGE(""https://docs.google.com/spreadsheets/d/1SX6NBoVAgQJ6U1MVXOaj8PK2l7WJ3RER9xtqwdhxkhw/edit?usp=sharing"",""สระแก้ว!M301"")"),120564)</f>
        <v>120564</v>
      </c>
      <c r="O406" s="169">
        <f t="shared" ca="1" si="112"/>
        <v>61.318278913640526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IFERROR(__xludf.DUMMYFUNCTION("IMPORTRANGE(""https://docs.google.com/spreadsheets/d/1SX6NBoVAgQJ6U1MVXOaj8PK2l7WJ3RER9xtqwdhxkhw/edit?usp=sharing"",""สระแก้ว!M302"")"),107714)</f>
        <v>107714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IFERROR(__xludf.DUMMYFUNCTION("IMPORTRANGE(""https://docs.google.com/spreadsheets/d/1SX6NBoVAgQJ6U1MVXOaj8PK2l7WJ3RER9xtqwdhxkhw/edit?usp=sharing"",""สระแก้ว!M305"")"),12850)</f>
        <v>12850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IFERROR(__xludf.DUMMYFUNCTION("IMPORTRANGE(""https://docs.google.com/spreadsheets/d/1SX6NBoVAgQJ6U1MVXOaj8PK2l7WJ3RER9xtqwdhxkhw/edit?usp=sharing"",""สระแก้ว!J329"")"),0)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IFERROR(__xludf.DUMMYFUNCTION("IMPORTRANGE(""https://docs.google.com/spreadsheets/d/1SX6NBoVAgQJ6U1MVXOaj8PK2l7WJ3RER9xtqwdhxkhw/edit?usp=sharing"",""สระแก้ว!M330"")"),47270)</f>
        <v>47270</v>
      </c>
      <c r="O435" s="412">
        <f t="shared" ref="O435:O439" ca="1" si="114">+IF(L435&gt;0,N435*100/L435,0)</f>
        <v>53.715909090909093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IFERROR(__xludf.DUMMYFUNCTION("IMPORTRANGE(""https://docs.google.com/spreadsheets/d/1SX6NBoVAgQJ6U1MVXOaj8PK2l7WJ3RER9xtqwdhxkhw/edit?usp=sharing"",""สระแก้ว!M332"")"),47270)</f>
        <v>47270</v>
      </c>
      <c r="O437" s="169">
        <f t="shared" ca="1" si="114"/>
        <v>53.715909090909093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IFERROR(__xludf.DUMMYFUNCTION("IMPORTRANGE(""https://docs.google.com/spreadsheets/d/1SX6NBoVAgQJ6U1MVXOaj8PK2l7WJ3RER9xtqwdhxkhw/edit?usp=sharing"",""สระแก้ว!M334"")"),47270)</f>
        <v>47270</v>
      </c>
      <c r="O439" s="169">
        <f t="shared" ca="1" si="114"/>
        <v>53.715909090909093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IFERROR(__xludf.DUMMYFUNCTION("IMPORTRANGE(""https://docs.google.com/spreadsheets/d/1SX6NBoVAgQJ6U1MVXOaj8PK2l7WJ3RER9xtqwdhxkhw/edit?usp=sharing"",""สระแก้ว!M338"")"),15070)</f>
        <v>15070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IFERROR(__xludf.DUMMYFUNCTION("IMPORTRANGE(""https://docs.google.com/spreadsheets/d/1SX6NBoVAgQJ6U1MVXOaj8PK2l7WJ3RER9xtqwdhxkhw/edit?usp=sharing"",""สระแก้ว!J349"")"),0)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IFERROR(__xludf.DUMMYFUNCTION("IMPORTRANGE(""https://docs.google.com/spreadsheets/d/1SX6NBoVAgQJ6U1MVXOaj8PK2l7WJ3RER9xtqwdhxkhw/edit?usp=sharing"",""สระแก้ว!L350"")"),956735)</f>
        <v>956735</v>
      </c>
      <c r="M455" s="373"/>
      <c r="N455" s="373">
        <f ca="1">IFERROR(__xludf.DUMMYFUNCTION("IMPORTRANGE(""https://docs.google.com/spreadsheets/d/1SX6NBoVAgQJ6U1MVXOaj8PK2l7WJ3RER9xtqwdhxkhw/edit?usp=sharing"",""สระแก้ว!M350"")"),252350.58)</f>
        <v>252350.58</v>
      </c>
      <c r="O455" s="373">
        <f t="shared" ref="O455:O459" ca="1" si="116">+IF(L455&gt;0,N455*100/L455,0)</f>
        <v>26.376225391566109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IFERROR(__xludf.DUMMYFUNCTION("IMPORTRANGE(""https://docs.google.com/spreadsheets/d/1SX6NBoVAgQJ6U1MVXOaj8PK2l7WJ3RER9xtqwdhxkhw/edit?usp=sharing"",""สระแก้ว!L352"")"),956735)</f>
        <v>956735</v>
      </c>
      <c r="M457" s="165"/>
      <c r="N457" s="169">
        <f ca="1">IFERROR(__xludf.DUMMYFUNCTION("IMPORTRANGE(""https://docs.google.com/spreadsheets/d/1SX6NBoVAgQJ6U1MVXOaj8PK2l7WJ3RER9xtqwdhxkhw/edit?usp=sharing"",""สระแก้ว!M352"")"),252350.58)</f>
        <v>252350.58</v>
      </c>
      <c r="O457" s="169">
        <f t="shared" ca="1" si="116"/>
        <v>26.376225391566109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IFERROR(__xludf.DUMMYFUNCTION("IMPORTRANGE(""https://docs.google.com/spreadsheets/d/1SX6NBoVAgQJ6U1MVXOaj8PK2l7WJ3RER9xtqwdhxkhw/edit?usp=sharing"",""สระแก้ว!L354"")"),956735)</f>
        <v>956735</v>
      </c>
      <c r="M459" s="169"/>
      <c r="N459" s="169">
        <f ca="1">IFERROR(__xludf.DUMMYFUNCTION("IMPORTRANGE(""https://docs.google.com/spreadsheets/d/1SX6NBoVAgQJ6U1MVXOaj8PK2l7WJ3RER9xtqwdhxkhw/edit?usp=sharing"",""สระแก้ว!M354"")"),252350.58)</f>
        <v>252350.58</v>
      </c>
      <c r="O459" s="169">
        <f t="shared" ca="1" si="116"/>
        <v>26.376225391566109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IFERROR(__xludf.DUMMYFUNCTION("IMPORTRANGE(""https://docs.google.com/spreadsheets/d/1SX6NBoVAgQJ6U1MVXOaj8PK2l7WJ3RER9xtqwdhxkhw/edit?usp=sharing"",""สระแก้ว!M357"")"),64225.58)</f>
        <v>64225.58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IFERROR(__xludf.DUMMYFUNCTION("IMPORTRANGE(""https://docs.google.com/spreadsheets/d/1SX6NBoVAgQJ6U1MVXOaj8PK2l7WJ3RER9xtqwdhxkhw/edit?usp=sharing"",""สระแก้ว!M358"")"),188125)</f>
        <v>188125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IFERROR(__xludf.DUMMYFUNCTION("IMPORTRANGE(""https://docs.google.com/spreadsheets/d/1SX6NBoVAgQJ6U1MVXOaj8PK2l7WJ3RER9xtqwdhxkhw/edit?usp=sharing"",""สระแก้ว!I359"")"),63631)</f>
        <v>63631</v>
      </c>
      <c r="J464" s="267">
        <f ca="1">IFERROR(__xludf.DUMMYFUNCTION("IMPORTRANGE(""https://docs.google.com/spreadsheets/d/1SX6NBoVAgQJ6U1MVXOaj8PK2l7WJ3RER9xtqwdhxkhw/edit?usp=sharing"",""สระแก้ว!J359"")"),0)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IFERROR(__xludf.DUMMYFUNCTION("IMPORTRANGE(""https://docs.google.com/spreadsheets/d/1SX6NBoVAgQJ6U1MVXOaj8PK2l7WJ3RER9xtqwdhxkhw/edit?usp=sharing"",""สระแก้ว!J377"")"),0)</f>
        <v>0</v>
      </c>
      <c r="K482" s="202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IFERROR(__xludf.DUMMYFUNCTION("IMPORTRANGE(""https://docs.google.com/spreadsheets/d/1SX6NBoVAgQJ6U1MVXOaj8PK2l7WJ3RER9xtqwdhxkhw/edit?usp=sharing"",""สระแก้ว!J392"")"),4603)</f>
        <v>4603</v>
      </c>
      <c r="K497" s="444">
        <f t="shared" ca="1" si="117"/>
        <v>20.57482567495083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IFERROR(__xludf.DUMMYFUNCTION("IMPORTRANGE(""https://docs.google.com/spreadsheets/d/1SX6NBoVAgQJ6U1MVXOaj8PK2l7WJ3RER9xtqwdhxkhw/edit?usp=sharing"",""สระแก้ว!J393"")"),4603)</f>
        <v>4603</v>
      </c>
      <c r="K498" s="202">
        <f t="shared" ca="1" si="117"/>
        <v>20.57482567495083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IFERROR(__xludf.DUMMYFUNCTION("IMPORTRANGE(""https://docs.google.com/spreadsheets/d/1SX6NBoVAgQJ6U1MVXOaj8PK2l7WJ3RER9xtqwdhxkhw/edit?usp=sharing"",""สระแก้ว!J394"")"),256)</f>
        <v>256</v>
      </c>
      <c r="K499" s="202">
        <f t="shared" ca="1" si="117"/>
        <v>18.311874105865524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IFERROR(__xludf.DUMMYFUNCTION("IMPORTRANGE(""https://docs.google.com/spreadsheets/d/1SX6NBoVAgQJ6U1MVXOaj8PK2l7WJ3RER9xtqwdhxkhw/edit?usp=sharing"",""สระแก้ว!J395"")"),4421)</f>
        <v>4421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IFERROR(__xludf.DUMMYFUNCTION("IMPORTRANGE(""https://docs.google.com/spreadsheets/d/1SX6NBoVAgQJ6U1MVXOaj8PK2l7WJ3RER9xtqwdhxkhw/edit?usp=sharing"",""สระแก้ว!J396"")"),247)</f>
        <v>247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IFERROR(__xludf.DUMMYFUNCTION("IMPORTRANGE(""https://docs.google.com/spreadsheets/d/1SX6NBoVAgQJ6U1MVXOaj8PK2l7WJ3RER9xtqwdhxkhw/edit?usp=sharing"",""สระแก้ว!J397"")"),4416)</f>
        <v>4416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IFERROR(__xludf.DUMMYFUNCTION("IMPORTRANGE(""https://docs.google.com/spreadsheets/d/1SX6NBoVAgQJ6U1MVXOaj8PK2l7WJ3RER9xtqwdhxkhw/edit?usp=sharing"",""สระแก้ว!J398"")"),246)</f>
        <v>246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IFERROR(__xludf.DUMMYFUNCTION("IMPORTRANGE(""https://docs.google.com/spreadsheets/d/1SX6NBoVAgQJ6U1MVXOaj8PK2l7WJ3RER9xtqwdhxkhw/edit?usp=sharing"",""สระแก้ว!J399"")"),5)</f>
        <v>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IFERROR(__xludf.DUMMYFUNCTION("IMPORTRANGE(""https://docs.google.com/spreadsheets/d/1SX6NBoVAgQJ6U1MVXOaj8PK2l7WJ3RER9xtqwdhxkhw/edit?usp=sharing"",""สระแก้ว!J403"")"),182)</f>
        <v>182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IFERROR(__xludf.DUMMYFUNCTION("IMPORTRANGE(""https://docs.google.com/spreadsheets/d/1SX6NBoVAgQJ6U1MVXOaj8PK2l7WJ3RER9xtqwdhxkhw/edit?usp=sharing"",""สระแก้ว!J404"")"),9)</f>
        <v>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IFERROR(__xludf.DUMMYFUNCTION("IMPORTRANGE(""https://docs.google.com/spreadsheets/d/1SX6NBoVAgQJ6U1MVXOaj8PK2l7WJ3RER9xtqwdhxkhw/edit?usp=sharing"",""สระแก้ว!J405"")"),182)</f>
        <v>182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IFERROR(__xludf.DUMMYFUNCTION("IMPORTRANGE(""https://docs.google.com/spreadsheets/d/1SX6NBoVAgQJ6U1MVXOaj8PK2l7WJ3RER9xtqwdhxkhw/edit?usp=sharing"",""สระแก้ว!I411"")"),0)</f>
        <v>0</v>
      </c>
      <c r="J516" s="267">
        <f ca="1">IFERROR(__xludf.DUMMYFUNCTION("IMPORTRANGE(""https://docs.google.com/spreadsheets/d/1SX6NBoVAgQJ6U1MVXOaj8PK2l7WJ3RER9xtqwdhxkhw/edit?usp=sharing"",""สระแก้ว!J411"")"),0)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IFERROR(__xludf.DUMMYFUNCTION("IMPORTRANGE(""https://docs.google.com/spreadsheets/d/1SX6NBoVAgQJ6U1MVXOaj8PK2l7WJ3RER9xtqwdhxkhw/edit?usp=sharing"",""สระแก้ว!I412"")"),0)</f>
        <v>0</v>
      </c>
      <c r="J517" s="284">
        <f ca="1">IFERROR(__xludf.DUMMYFUNCTION("IMPORTRANGE(""https://docs.google.com/spreadsheets/d/1SX6NBoVAgQJ6U1MVXOaj8PK2l7WJ3RER9xtqwdhxkhw/edit?usp=sharing"",""สระแก้ว!J412"")"),0)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IFERROR(__xludf.DUMMYFUNCTION("IMPORTRANGE(""https://docs.google.com/spreadsheets/d/1SX6NBoVAgQJ6U1MVXOaj8PK2l7WJ3RER9xtqwdhxkhw/edit?usp=sharing"",""สระแก้ว!I413"")"),0)</f>
        <v>0</v>
      </c>
      <c r="J518" s="284">
        <f ca="1">IFERROR(__xludf.DUMMYFUNCTION("IMPORTRANGE(""https://docs.google.com/spreadsheets/d/1SX6NBoVAgQJ6U1MVXOaj8PK2l7WJ3RER9xtqwdhxkhw/edit?usp=sharing"",""สระแก้ว!J413"")"),0)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IFERROR(__xludf.DUMMYFUNCTION("IMPORTRANGE(""https://docs.google.com/spreadsheets/d/1SX6NBoVAgQJ6U1MVXOaj8PK2l7WJ3RER9xtqwdhxkhw/edit?usp=sharing"",""สระแก้ว!I420"")"),0)</f>
        <v>0</v>
      </c>
      <c r="J525" s="284">
        <f ca="1">IFERROR(__xludf.DUMMYFUNCTION("IMPORTRANGE(""https://docs.google.com/spreadsheets/d/1SX6NBoVAgQJ6U1MVXOaj8PK2l7WJ3RER9xtqwdhxkhw/edit?usp=sharing"",""สระแก้ว!J420"")"),0)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IFERROR(__xludf.DUMMYFUNCTION("IMPORTRANGE(""https://docs.google.com/spreadsheets/d/1SX6NBoVAgQJ6U1MVXOaj8PK2l7WJ3RER9xtqwdhxkhw/edit?usp=sharing"",""สระแก้ว!I421"")"),0)</f>
        <v>0</v>
      </c>
      <c r="J526" s="284">
        <f ca="1">IFERROR(__xludf.DUMMYFUNCTION("IMPORTRANGE(""https://docs.google.com/spreadsheets/d/1SX6NBoVAgQJ6U1MVXOaj8PK2l7WJ3RER9xtqwdhxkhw/edit?usp=sharing"",""สระแก้ว!J421"")"),0)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IFERROR(__xludf.DUMMYFUNCTION("IMPORTRANGE(""https://docs.google.com/spreadsheets/d/1SX6NBoVAgQJ6U1MVXOaj8PK2l7WJ3RER9xtqwdhxkhw/edit?usp=sharing"",""สระแก้ว!M428"")"),27225)</f>
        <v>27225</v>
      </c>
      <c r="O533" s="412">
        <f t="shared" ref="O533:O537" ca="1" si="118">+IF(L533&gt;0,N533*100/L533,0)</f>
        <v>79.28072218986604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IFERROR(__xludf.DUMMYFUNCTION("IMPORTRANGE(""https://docs.google.com/spreadsheets/d/1SX6NBoVAgQJ6U1MVXOaj8PK2l7WJ3RER9xtqwdhxkhw/edit?usp=sharing"",""สระแก้ว!M430"")"),27225)</f>
        <v>27225</v>
      </c>
      <c r="O535" s="169">
        <f t="shared" ca="1" si="118"/>
        <v>79.28072218986604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IFERROR(__xludf.DUMMYFUNCTION("IMPORTRANGE(""https://docs.google.com/spreadsheets/d/1SX6NBoVAgQJ6U1MVXOaj8PK2l7WJ3RER9xtqwdhxkhw/edit?usp=sharing"",""สระแก้ว!M432"")"),27225)</f>
        <v>27225</v>
      </c>
      <c r="O537" s="169">
        <f t="shared" ca="1" si="118"/>
        <v>79.28072218986604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IFERROR(__xludf.DUMMYFUNCTION("IMPORTRANGE(""https://docs.google.com/spreadsheets/d/1SX6NBoVAgQJ6U1MVXOaj8PK2l7WJ3RER9xtqwdhxkhw/edit?usp=sharing"",""สระแก้ว!M433"")"),17685)</f>
        <v>17685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IFERROR(__xludf.DUMMYFUNCTION("IMPORTRANGE(""https://docs.google.com/spreadsheets/d/1SX6NBoVAgQJ6U1MVXOaj8PK2l7WJ3RER9xtqwdhxkhw/edit?usp=sharing"",""สระแก้ว!M436"")"),9540)</f>
        <v>9540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IFERROR(__xludf.DUMMYFUNCTION("IMPORTRANGE(""https://docs.google.com/spreadsheets/d/1SX6NBoVAgQJ6U1MVXOaj8PK2l7WJ3RER9xtqwdhxkhw/edit?usp=sharing"",""สระแก้ว!J459"")"),6993)</f>
        <v>6993</v>
      </c>
      <c r="K564" s="372">
        <f ca="1">IF(I564&gt;0,J564*100/I564,0)</f>
        <v>177.03797468354429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IFERROR(__xludf.DUMMYFUNCTION("IMPORTRANGE(""https://docs.google.com/spreadsheets/d/1SX6NBoVAgQJ6U1MVXOaj8PK2l7WJ3RER9xtqwdhxkhw/edit?usp=sharing"",""สระแก้ว!M459"")"),95230.16)</f>
        <v>95230.16</v>
      </c>
      <c r="O564" s="373">
        <f t="shared" ref="O564:O568" ca="1" si="122">+IF(L564&gt;0,N564*100/L564,0)</f>
        <v>57.506135265700486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IFERROR(__xludf.DUMMYFUNCTION("IMPORTRANGE(""https://docs.google.com/spreadsheets/d/1SX6NBoVAgQJ6U1MVXOaj8PK2l7WJ3RER9xtqwdhxkhw/edit?usp=sharing"",""สระแก้ว!M461"")"),95230.16)</f>
        <v>95230.16</v>
      </c>
      <c r="O566" s="169">
        <f t="shared" ca="1" si="122"/>
        <v>57.506135265700486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IFERROR(__xludf.DUMMYFUNCTION("IMPORTRANGE(""https://docs.google.com/spreadsheets/d/1SX6NBoVAgQJ6U1MVXOaj8PK2l7WJ3RER9xtqwdhxkhw/edit?usp=sharing"",""สระแก้ว!M463"")"),95230.16)</f>
        <v>95230.16</v>
      </c>
      <c r="O568" s="169">
        <f t="shared" ca="1" si="122"/>
        <v>57.506135265700486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IFERROR(__xludf.DUMMYFUNCTION("IMPORTRANGE(""https://docs.google.com/spreadsheets/d/1SX6NBoVAgQJ6U1MVXOaj8PK2l7WJ3RER9xtqwdhxkhw/edit?usp=sharing"",""สระแก้ว!M466"")"),65645.16)</f>
        <v>65645.16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IFERROR(__xludf.DUMMYFUNCTION("IMPORTRANGE(""https://docs.google.com/spreadsheets/d/1SX6NBoVAgQJ6U1MVXOaj8PK2l7WJ3RER9xtqwdhxkhw/edit?usp=sharing"",""สระแก้ว!M467"")"),29585)</f>
        <v>29585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IFERROR(__xludf.DUMMYFUNCTION("IMPORTRANGE(""https://docs.google.com/spreadsheets/d/1SX6NBoVAgQJ6U1MVXOaj8PK2l7WJ3RER9xtqwdhxkhw/edit?usp=sharing"",""สระแก้ว!J468"")"),6993)</f>
        <v>6993</v>
      </c>
      <c r="K573" s="202">
        <f ca="1">IF(I573&gt;0,J573*100/I573,0)</f>
        <v>177.03797468354429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IFERROR(__xludf.DUMMYFUNCTION("IMPORTRANGE(""https://docs.google.com/spreadsheets/d/1SX6NBoVAgQJ6U1MVXOaj8PK2l7WJ3RER9xtqwdhxkhw/edit?usp=sharing"",""สระแก้ว!J471"")"),126)</f>
        <v>126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IFERROR(__xludf.DUMMYFUNCTION("IMPORTRANGE(""https://docs.google.com/spreadsheets/d/1SX6NBoVAgQJ6U1MVXOaj8PK2l7WJ3RER9xtqwdhxkhw/edit?usp=sharing"",""สระแก้ว!J472"")"),6867)</f>
        <v>6867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IFERROR(__xludf.DUMMYFUNCTION("IMPORTRANGE(""https://docs.google.com/spreadsheets/d/1SX6NBoVAgQJ6U1MVXOaj8PK2l7WJ3RER9xtqwdhxkhw/edit?usp=sharing"",""สระแก้ว!L475"")"),370563)</f>
        <v>370563</v>
      </c>
      <c r="M580" s="373"/>
      <c r="N580" s="373">
        <f ca="1">IFERROR(__xludf.DUMMYFUNCTION("IMPORTRANGE(""https://docs.google.com/spreadsheets/d/1SX6NBoVAgQJ6U1MVXOaj8PK2l7WJ3RER9xtqwdhxkhw/edit?usp=sharing"",""สระแก้ว!M475"")"),112530.91)</f>
        <v>112530.91</v>
      </c>
      <c r="O580" s="373">
        <f t="shared" ref="O580:O584" ca="1" si="124">+IF(L580&gt;0,N580*100/L580,0)</f>
        <v>30.367551536445895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IFERROR(__xludf.DUMMYFUNCTION("IMPORTRANGE(""https://docs.google.com/spreadsheets/d/1SX6NBoVAgQJ6U1MVXOaj8PK2l7WJ3RER9xtqwdhxkhw/edit?usp=sharing"",""สระแก้ว!L477"")"),370563)</f>
        <v>370563</v>
      </c>
      <c r="M582" s="165"/>
      <c r="N582" s="169">
        <f ca="1">IFERROR(__xludf.DUMMYFUNCTION("IMPORTRANGE(""https://docs.google.com/spreadsheets/d/1SX6NBoVAgQJ6U1MVXOaj8PK2l7WJ3RER9xtqwdhxkhw/edit?usp=sharing"",""สระแก้ว!M477"")"),112530.91)</f>
        <v>112530.91</v>
      </c>
      <c r="O582" s="169">
        <f t="shared" ca="1" si="124"/>
        <v>30.367551536445895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IFERROR(__xludf.DUMMYFUNCTION("IMPORTRANGE(""https://docs.google.com/spreadsheets/d/1SX6NBoVAgQJ6U1MVXOaj8PK2l7WJ3RER9xtqwdhxkhw/edit?usp=sharing"",""สระแก้ว!L479"")"),370563)</f>
        <v>370563</v>
      </c>
      <c r="M584" s="169"/>
      <c r="N584" s="169">
        <f ca="1">IFERROR(__xludf.DUMMYFUNCTION("IMPORTRANGE(""https://docs.google.com/spreadsheets/d/1SX6NBoVAgQJ6U1MVXOaj8PK2l7WJ3RER9xtqwdhxkhw/edit?usp=sharing"",""สระแก้ว!M479"")"),112530.91)</f>
        <v>112530.91</v>
      </c>
      <c r="O584" s="169">
        <f t="shared" ca="1" si="124"/>
        <v>30.367551536445895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IFERROR(__xludf.DUMMYFUNCTION("IMPORTRANGE(""https://docs.google.com/spreadsheets/d/1SX6NBoVAgQJ6U1MVXOaj8PK2l7WJ3RER9xtqwdhxkhw/edit?usp=sharing"",""สระแก้ว!M482"")"),71410.91)</f>
        <v>71410.91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IFERROR(__xludf.DUMMYFUNCTION("IMPORTRANGE(""https://docs.google.com/spreadsheets/d/1SX6NBoVAgQJ6U1MVXOaj8PK2l7WJ3RER9xtqwdhxkhw/edit?usp=sharing"",""สระแก้ว!M483"")"),41120)</f>
        <v>41120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IFERROR(__xludf.DUMMYFUNCTION("IMPORTRANGE(""https://docs.google.com/spreadsheets/d/1SX6NBoVAgQJ6U1MVXOaj8PK2l7WJ3RER9xtqwdhxkhw/edit?usp=sharing"",""สระแก้ว!J484"")"),15)</f>
        <v>15</v>
      </c>
      <c r="K589" s="163">
        <f t="shared" ref="K589:K596" ca="1" si="125">IF(I589&gt;0,J589*100/I589,0)</f>
        <v>7.042253521126761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IFERROR(__xludf.DUMMYFUNCTION("IMPORTRANGE(""https://docs.google.com/spreadsheets/d/1SX6NBoVAgQJ6U1MVXOaj8PK2l7WJ3RER9xtqwdhxkhw/edit?usp=sharing"",""สระแก้ว!J485"")"),8.71)</f>
        <v>8.7100000000000009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IFERROR(__xludf.DUMMYFUNCTION("IMPORTRANGE(""https://docs.google.com/spreadsheets/d/1SX6NBoVAgQJ6U1MVXOaj8PK2l7WJ3RER9xtqwdhxkhw/edit?usp=sharing"",""สระแก้ว!I491"")"),0)</f>
        <v>0</v>
      </c>
      <c r="J596" s="241">
        <f ca="1">IFERROR(__xludf.DUMMYFUNCTION("IMPORTRANGE(""https://docs.google.com/spreadsheets/d/1SX6NBoVAgQJ6U1MVXOaj8PK2l7WJ3RER9xtqwdhxkhw/edit?usp=sharing"",""สระแก้ว!J491"")"),0)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7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IFERROR(__xludf.DUMMYFUNCTION("IMPORTRANGE(""https://docs.google.com/spreadsheets/d/1SX6NBoVAgQJ6U1MVXOaj8PK2l7WJ3RER9xtqwdhxkhw/edit?usp=sharing"",""สระแก้ว!L494"")"),12900)</f>
        <v>12900</v>
      </c>
      <c r="M599" s="165"/>
      <c r="N599" s="169">
        <f ca="1">IFERROR(__xludf.DUMMYFUNCTION("IMPORTRANGE(""https://docs.google.com/spreadsheets/d/1SX6NBoVAgQJ6U1MVXOaj8PK2l7WJ3RER9xtqwdhxkhw/edit?usp=sharing"",""สระแก้ว!M494"")"),7400)</f>
        <v>7400</v>
      </c>
      <c r="O599" s="169">
        <f t="shared" ca="1" si="126"/>
        <v>57.36434108527132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IFERROR(__xludf.DUMMYFUNCTION("IMPORTRANGE(""https://docs.google.com/spreadsheets/d/1SX6NBoVAgQJ6U1MVXOaj8PK2l7WJ3RER9xtqwdhxkhw/edit?usp=sharing"",""สระแก้ว!L496"")"),12900)</f>
        <v>12900</v>
      </c>
      <c r="M601" s="169"/>
      <c r="N601" s="169">
        <f ca="1">IFERROR(__xludf.DUMMYFUNCTION("IMPORTRANGE(""https://docs.google.com/spreadsheets/d/1SX6NBoVAgQJ6U1MVXOaj8PK2l7WJ3RER9xtqwdhxkhw/edit?usp=sharing"",""สระแก้ว!M496"")"),7400)</f>
        <v>7400</v>
      </c>
      <c r="O601" s="169">
        <f t="shared" ca="1" si="126"/>
        <v>57.36434108527132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IFERROR(__xludf.DUMMYFUNCTION("IMPORTRANGE(""https://docs.google.com/spreadsheets/d/1SX6NBoVAgQJ6U1MVXOaj8PK2l7WJ3RER9xtqwdhxkhw/edit?usp=sharing"",""สระแก้ว!J507"")"),199)</f>
        <v>199</v>
      </c>
      <c r="K612" s="163">
        <f t="shared" ca="1" si="127"/>
        <v>199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IFERROR(__xludf.DUMMYFUNCTION("IMPORTRANGE(""https://docs.google.com/spreadsheets/d/1SX6NBoVAgQJ6U1MVXOaj8PK2l7WJ3RER9xtqwdhxkhw/edit?usp=sharing"",""สระแก้ว!J508"")"),199)</f>
        <v>199</v>
      </c>
      <c r="K613" s="163">
        <f t="shared" ca="1" si="127"/>
        <v>199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IFERROR(__xludf.DUMMYFUNCTION("IMPORTRANGE(""https://docs.google.com/spreadsheets/d/1SX6NBoVAgQJ6U1MVXOaj8PK2l7WJ3RER9xtqwdhxkhw/edit?usp=sharing"",""สระแก้ว!J509"")"),199)</f>
        <v>199</v>
      </c>
      <c r="K614" s="163">
        <f t="shared" ca="1" si="127"/>
        <v>199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IFERROR(__xludf.DUMMYFUNCTION("IMPORTRANGE(""https://docs.google.com/spreadsheets/d/1SX6NBoVAgQJ6U1MVXOaj8PK2l7WJ3RER9xtqwdhxkhw/edit?usp=sharing"",""สระแก้ว!J510"")"),199)</f>
        <v>199</v>
      </c>
      <c r="K615" s="163">
        <f t="shared" ca="1" si="127"/>
        <v>199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1">
        <f ca="1">IFERROR(__xludf.DUMMYFUNCTION("IMPORTRANGE(""https://docs.google.com/spreadsheets/d/1SX6NBoVAgQJ6U1MVXOaj8PK2l7WJ3RER9xtqwdhxkhw/edit?usp=sharing"",""สระแก้ว!J523"")"),6510288.69)</f>
        <v>6510288.6900000004</v>
      </c>
      <c r="K628" s="342">
        <f t="shared" ref="K628:K635" ca="1" si="129">IF(I628&gt;0,J628*100/I628,0)</f>
        <v>79.078747474567905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IFERROR(__xludf.DUMMYFUNCTION("IMPORTRANGE(""https://docs.google.com/spreadsheets/d/1SX6NBoVAgQJ6U1MVXOaj8PK2l7WJ3RER9xtqwdhxkhw/edit?usp=sharing"",""สระแก้ว!I524"")"),586)</f>
        <v>586</v>
      </c>
      <c r="J629" s="341">
        <f ca="1">IFERROR(__xludf.DUMMYFUNCTION("IMPORTRANGE(""https://docs.google.com/spreadsheets/d/1SX6NBoVAgQJ6U1MVXOaj8PK2l7WJ3RER9xtqwdhxkhw/edit?usp=sharing"",""สระแก้ว!J524"")"),400)</f>
        <v>400</v>
      </c>
      <c r="K629" s="342">
        <f t="shared" ca="1" si="129"/>
        <v>68.25938566552901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1">
        <f ca="1">IFERROR(__xludf.DUMMYFUNCTION("IMPORTRANGE(""https://docs.google.com/spreadsheets/d/1SX6NBoVAgQJ6U1MVXOaj8PK2l7WJ3RER9xtqwdhxkhw/edit?usp=sharing"",""สระแก้ว!J525"")"),1528825.06)</f>
        <v>1528825.06</v>
      </c>
      <c r="K630" s="342">
        <f t="shared" ca="1" si="129"/>
        <v>28.315391680496433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IFERROR(__xludf.DUMMYFUNCTION("IMPORTRANGE(""https://docs.google.com/spreadsheets/d/1SX6NBoVAgQJ6U1MVXOaj8PK2l7WJ3RER9xtqwdhxkhw/edit?usp=sharing"",""สระแก้ว!I526"")"),242)</f>
        <v>242</v>
      </c>
      <c r="J631" s="341">
        <f ca="1">IFERROR(__xludf.DUMMYFUNCTION("IMPORTRANGE(""https://docs.google.com/spreadsheets/d/1SX6NBoVAgQJ6U1MVXOaj8PK2l7WJ3RER9xtqwdhxkhw/edit?usp=sharing"",""สระแก้ว!J526"")"),199)</f>
        <v>199</v>
      </c>
      <c r="K631" s="342">
        <f t="shared" ca="1" si="129"/>
        <v>82.231404958677686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IFERROR(__xludf.DUMMYFUNCTION("IMPORTRANGE(""https://docs.google.com/spreadsheets/d/1SX6NBoVAgQJ6U1MVXOaj8PK2l7WJ3RER9xtqwdhxkhw/edit?usp=sharing"",""สระแก้ว!I527"")"),0)</f>
        <v>0</v>
      </c>
      <c r="J632" s="341">
        <f ca="1">IFERROR(__xludf.DUMMYFUNCTION("IMPORTRANGE(""https://docs.google.com/spreadsheets/d/1SX6NBoVAgQJ6U1MVXOaj8PK2l7WJ3RER9xtqwdhxkhw/edit?usp=sharing"",""สระแก้ว!J527"")"),39240.73)</f>
        <v>39240.730000000003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IFERROR(__xludf.DUMMYFUNCTION("IMPORTRANGE(""https://docs.google.com/spreadsheets/d/1SX6NBoVAgQJ6U1MVXOaj8PK2l7WJ3RER9xtqwdhxkhw/edit?usp=sharing"",""สระแก้ว!I528"")"),0)</f>
        <v>0</v>
      </c>
      <c r="J633" s="341">
        <f ca="1">IFERROR(__xludf.DUMMYFUNCTION("IMPORTRANGE(""https://docs.google.com/spreadsheets/d/1SX6NBoVAgQJ6U1MVXOaj8PK2l7WJ3RER9xtqwdhxkhw/edit?usp=sharing"",""สระแก้ว!J528"")"),4)</f>
        <v>4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IFERROR(__xludf.DUMMYFUNCTION("IMPORTRANGE(""https://docs.google.com/spreadsheets/d/1SX6NBoVAgQJ6U1MVXOaj8PK2l7WJ3RER9xtqwdhxkhw/edit?usp=sharing"",""สระแก้ว!I529"")"),10000000)</f>
        <v>10000000</v>
      </c>
      <c r="J634" s="341">
        <f ca="1">IFERROR(__xludf.DUMMYFUNCTION("IMPORTRANGE(""https://docs.google.com/spreadsheets/d/1SX6NBoVAgQJ6U1MVXOaj8PK2l7WJ3RER9xtqwdhxkhw/edit?usp=sharing"",""สระแก้ว!J529"")"),5240000)</f>
        <v>5240000</v>
      </c>
      <c r="K634" s="342">
        <f t="shared" ca="1" si="129"/>
        <v>52.4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IFERROR(__xludf.DUMMYFUNCTION("IMPORTRANGE(""https://docs.google.com/spreadsheets/d/1SX6NBoVAgQJ6U1MVXOaj8PK2l7WJ3RER9xtqwdhxkhw/edit?usp=sharing"",""สระแก้ว!I530"")"),250)</f>
        <v>250</v>
      </c>
      <c r="J635" s="504">
        <f ca="1">IFERROR(__xludf.DUMMYFUNCTION("IMPORTRANGE(""https://docs.google.com/spreadsheets/d/1SX6NBoVAgQJ6U1MVXOaj8PK2l7WJ3RER9xtqwdhxkhw/edit?usp=sharing"",""สระแก้ว!J530"")"),129)</f>
        <v>129</v>
      </c>
      <c r="K635" s="486">
        <f t="shared" ca="1" si="129"/>
        <v>51.6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IFERROR(__xludf.DUMMYFUNCTION("IMPORTRANGE(""https://docs.google.com/spreadsheets/d/1SX6NBoVAgQJ6U1MVXOaj8PK2l7WJ3RER9xtqwdhxkhw/edit#gid=346597447"",""สระแก้ว!J541"")"),0)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IFERROR(__xludf.DUMMYFUNCTION("IMPORTRANGE(""https://docs.google.com/spreadsheets/d/1SX6NBoVAgQJ6U1MVXOaj8PK2l7WJ3RER9xtqwdhxkhw/edit#gid=346597447"",""สระแก้ว!J542"")"),0)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IFERROR(__xludf.DUMMYFUNCTION("IMPORTRANGE(""https://docs.google.com/spreadsheets/d/1SX6NBoVAgQJ6U1MVXOaj8PK2l7WJ3RER9xtqwdhxkhw/edit#gid=346597447"",""สระแก้ว!I543"")"),0)</f>
        <v>0</v>
      </c>
      <c r="J648" s="536">
        <f ca="1">IFERROR(__xludf.DUMMYFUNCTION("IMPORTRANGE(""https://docs.google.com/spreadsheets/d/1SX6NBoVAgQJ6U1MVXOaj8PK2l7WJ3RER9xtqwdhxkhw/edit#gid=346597447"",""สระแก้ว!J543"")"),0)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IFERROR(__xludf.DUMMYFUNCTION("IMPORTRANGE(""https://docs.google.com/spreadsheets/d/1SX6NBoVAgQJ6U1MVXOaj8PK2l7WJ3RER9xtqwdhxkhw/edit#gid=346597447"",""สระแก้ว!L543"")"),0)</f>
        <v>0</v>
      </c>
      <c r="M648" s="521"/>
      <c r="N648" s="538">
        <f ca="1">IFERROR(__xludf.DUMMYFUNCTION("IMPORTRANGE(""https://docs.google.com/spreadsheets/d/1SX6NBoVAgQJ6U1MVXOaj8PK2l7WJ3RER9xtqwdhxkhw/edit#gid=346597447"",""สระแก้ว!M543"")"),0)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IFERROR(__xludf.DUMMYFUNCTION("IMPORTRANGE(""https://docs.google.com/spreadsheets/d/1SX6NBoVAgQJ6U1MVXOaj8PK2l7WJ3RER9xtqwdhxkhw/edit#gid=346597447"",""สระแก้ว!I544"")"),0)</f>
        <v>0</v>
      </c>
      <c r="J649" s="536">
        <f ca="1">IFERROR(__xludf.DUMMYFUNCTION("IMPORTRANGE(""https://docs.google.com/spreadsheets/d/1SX6NBoVAgQJ6U1MVXOaj8PK2l7WJ3RER9xtqwdhxkhw/edit#gid=346597447"",""สระแก้ว!J544"")"),0)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IFERROR(__xludf.DUMMYFUNCTION("IMPORTRANGE(""https://docs.google.com/spreadsheets/d/1SX6NBoVAgQJ6U1MVXOaj8PK2l7WJ3RER9xtqwdhxkhw/edit#gid=346597447"",""สระแก้ว!L544"")"),0)</f>
        <v>0</v>
      </c>
      <c r="M649" s="521"/>
      <c r="N649" s="538">
        <f ca="1">IFERROR(__xludf.DUMMYFUNCTION("IMPORTRANGE(""https://docs.google.com/spreadsheets/d/1SX6NBoVAgQJ6U1MVXOaj8PK2l7WJ3RER9xtqwdhxkhw/edit#gid=346597447"",""สระแก้ว!M544"")"),0)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IFERROR(__xludf.DUMMYFUNCTION("IMPORTRANGE(""https://docs.google.com/spreadsheets/d/1SX6NBoVAgQJ6U1MVXOaj8PK2l7WJ3RER9xtqwdhxkhw/edit#gid=346597447"",""สระแก้ว!I545"")"),0)</f>
        <v>0</v>
      </c>
      <c r="J650" s="536">
        <f ca="1">IFERROR(__xludf.DUMMYFUNCTION("IMPORTRANGE(""https://docs.google.com/spreadsheets/d/1SX6NBoVAgQJ6U1MVXOaj8PK2l7WJ3RER9xtqwdhxkhw/edit#gid=346597447"",""สระแก้ว!J545"")"),0)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IFERROR(__xludf.DUMMYFUNCTION("IMPORTRANGE(""https://docs.google.com/spreadsheets/d/1SX6NBoVAgQJ6U1MVXOaj8PK2l7WJ3RER9xtqwdhxkhw/edit#gid=346597447"",""สระแก้ว!L545"")"),0)</f>
        <v>0</v>
      </c>
      <c r="M650" s="521"/>
      <c r="N650" s="538">
        <f ca="1">IFERROR(__xludf.DUMMYFUNCTION("IMPORTRANGE(""https://docs.google.com/spreadsheets/d/1SX6NBoVAgQJ6U1MVXOaj8PK2l7WJ3RER9xtqwdhxkhw/edit#gid=346597447"",""สระแก้ว!M545"")"),0)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IFERROR(__xludf.DUMMYFUNCTION("IMPORTRANGE(""https://docs.google.com/spreadsheets/d/1SX6NBoVAgQJ6U1MVXOaj8PK2l7WJ3RER9xtqwdhxkhw/edit#gid=346597447"",""สระแก้ว!I546"")"),0)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IFERROR(__xludf.DUMMYFUNCTION("IMPORTRANGE(""https://docs.google.com/spreadsheets/d/1SX6NBoVAgQJ6U1MVXOaj8PK2l7WJ3RER9xtqwdhxkhw/edit#gid=346597447"",""สระแก้ว!L546"")"),0)</f>
        <v>0</v>
      </c>
      <c r="M651" s="521"/>
      <c r="N651" s="538">
        <f ca="1">IFERROR(__xludf.DUMMYFUNCTION("IMPORTRANGE(""https://docs.google.com/spreadsheets/d/1SX6NBoVAgQJ6U1MVXOaj8PK2l7WJ3RER9xtqwdhxkhw/edit#gid=346597447"",""สระแก้ว!M546"")"),0)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IFERROR(__xludf.DUMMYFUNCTION("IMPORTRANGE(""https://docs.google.com/spreadsheets/d/1SX6NBoVAgQJ6U1MVXOaj8PK2l7WJ3RER9xtqwdhxkhw/edit#gid=346597447"",""สระแก้ว!J547"")"),0)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IFERROR(__xludf.DUMMYFUNCTION("IMPORTRANGE(""https://docs.google.com/spreadsheets/d/1SX6NBoVAgQJ6U1MVXOaj8PK2l7WJ3RER9xtqwdhxkhw/edit#gid=346597447"",""สระแก้ว!J548"")"),0)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IFERROR(__xludf.DUMMYFUNCTION("IMPORTRANGE(""https://docs.google.com/spreadsheets/d/1SX6NBoVAgQJ6U1MVXOaj8PK2l7WJ3RER9xtqwdhxkhw/edit#gid=346597447"",""สระแก้ว!J550"")"),0)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IFERROR(__xludf.DUMMYFUNCTION("IMPORTRANGE(""https://docs.google.com/spreadsheets/d/1SX6NBoVAgQJ6U1MVXOaj8PK2l7WJ3RER9xtqwdhxkhw/edit#gid=346597447"",""สระแก้ว!J551"")"),0)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IFERROR(__xludf.DUMMYFUNCTION("IMPORTRANGE(""https://docs.google.com/spreadsheets/d/1SX6NBoVAgQJ6U1MVXOaj8PK2l7WJ3RER9xtqwdhxkhw/edit#gid=346597447"",""สระแก้ว!J552"")"),0)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IFERROR(__xludf.DUMMYFUNCTION("IMPORTRANGE(""https://docs.google.com/spreadsheets/d/1SX6NBoVAgQJ6U1MVXOaj8PK2l7WJ3RER9xtqwdhxkhw/edit#gid=346597447"",""สระแก้ว!J553"")"),0)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IFERROR(__xludf.DUMMYFUNCTION("IMPORTRANGE(""https://docs.google.com/spreadsheets/d/1SX6NBoVAgQJ6U1MVXOaj8PK2l7WJ3RER9xtqwdhxkhw/edit#gid=346597447"",""สระแก้ว!J554"")"),0)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IFERROR(__xludf.DUMMYFUNCTION("IMPORTRANGE(""https://docs.google.com/spreadsheets/d/1SX6NBoVAgQJ6U1MVXOaj8PK2l7WJ3RER9xtqwdhxkhw/edit#gid=346597447"",""สระแก้ว!J555"")"),0)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IFERROR(__xludf.DUMMYFUNCTION("IMPORTRANGE(""https://docs.google.com/spreadsheets/d/1SX6NBoVAgQJ6U1MVXOaj8PK2l7WJ3RER9xtqwdhxkhw/edit#gid=346597447"",""สระแก้ว!J556"")"),0)</f>
        <v>0</v>
      </c>
      <c r="K661" s="537"/>
      <c r="L661" s="522">
        <f ca="1">IFERROR(__xludf.DUMMYFUNCTION("IMPORTRANGE(""https://docs.google.com/spreadsheets/d/1SX6NBoVAgQJ6U1MVXOaj8PK2l7WJ3RER9xtqwdhxkhw/edit#gid=346597447"",""สระแก้ว!L556"")"),0)</f>
        <v>0</v>
      </c>
      <c r="M661" s="521"/>
      <c r="N661" s="538">
        <f ca="1">IFERROR(__xludf.DUMMYFUNCTION("IMPORTRANGE(""https://docs.google.com/spreadsheets/d/1SX6NBoVAgQJ6U1MVXOaj8PK2l7WJ3RER9xtqwdhxkhw/edit#gid=346597447"",""สระแก้ว!M556"")"),0)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IFERROR(__xludf.DUMMYFUNCTION("IMPORTRANGE(""https://docs.google.com/spreadsheets/d/1SX6NBoVAgQJ6U1MVXOaj8PK2l7WJ3RER9xtqwdhxkhw/edit#gid=346597447"",""สระแก้ว!J557"")"),0)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IFERROR(__xludf.DUMMYFUNCTION("IMPORTRANGE(""https://docs.google.com/spreadsheets/d/1SX6NBoVAgQJ6U1MVXOaj8PK2l7WJ3RER9xtqwdhxkhw/edit#gid=346597447"",""สระแก้ว!I558"")"),0)</f>
        <v>0</v>
      </c>
      <c r="J663" s="536">
        <f ca="1">IFERROR(__xludf.DUMMYFUNCTION("IMPORTRANGE(""https://docs.google.com/spreadsheets/d/1SX6NBoVAgQJ6U1MVXOaj8PK2l7WJ3RER9xtqwdhxkhw/edit#gid=346597447"",""สระแก้ว!J558"")"),0)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IFERROR(__xludf.DUMMYFUNCTION("IMPORTRANGE(""https://docs.google.com/spreadsheets/d/1SX6NBoVAgQJ6U1MVXOaj8PK2l7WJ3RER9xtqwdhxkhw/edit#gid=346597447"",""สระแก้ว!I560"")"),0)</f>
        <v>0</v>
      </c>
      <c r="J665" s="536">
        <f ca="1">IFERROR(__xludf.DUMMYFUNCTION("IMPORTRANGE(""https://docs.google.com/spreadsheets/d/1SX6NBoVAgQJ6U1MVXOaj8PK2l7WJ3RER9xtqwdhxkhw/edit#gid=346597447"",""สระแก้ว!J560"")"),0)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IFERROR(__xludf.DUMMYFUNCTION("IMPORTRANGE(""https://docs.google.com/spreadsheets/d/1SX6NBoVAgQJ6U1MVXOaj8PK2l7WJ3RER9xtqwdhxkhw/edit#gid=346597447"",""สระแก้ว!L560"")"),0)</f>
        <v>0</v>
      </c>
      <c r="M665" s="521"/>
      <c r="N665" s="538">
        <f ca="1">IFERROR(__xludf.DUMMYFUNCTION("IMPORTRANGE(""https://docs.google.com/spreadsheets/d/1SX6NBoVAgQJ6U1MVXOaj8PK2l7WJ3RER9xtqwdhxkhw/edit#gid=346597447"",""สระแก้ว!M560"")"),0)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IFERROR(__xludf.DUMMYFUNCTION("IMPORTRANGE(""https://docs.google.com/spreadsheets/d/1SX6NBoVAgQJ6U1MVXOaj8PK2l7WJ3RER9xtqwdhxkhw/edit#gid=346597447"",""สระแก้ว!J561"")"),0)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IFERROR(__xludf.DUMMYFUNCTION("IMPORTRANGE(""https://docs.google.com/spreadsheets/d/1SX6NBoVAgQJ6U1MVXOaj8PK2l7WJ3RER9xtqwdhxkhw/edit#gid=346597447"",""สระแก้ว!J562"")"),0)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IFERROR(__xludf.DUMMYFUNCTION("IMPORTRANGE(""https://docs.google.com/spreadsheets/d/1SX6NBoVAgQJ6U1MVXOaj8PK2l7WJ3RER9xtqwdhxkhw/edit#gid=346597447"",""สระแก้ว!I563"")"),0)</f>
        <v>0</v>
      </c>
      <c r="J668" s="536">
        <f ca="1">IFERROR(__xludf.DUMMYFUNCTION("IMPORTRANGE(""https://docs.google.com/spreadsheets/d/1SX6NBoVAgQJ6U1MVXOaj8PK2l7WJ3RER9xtqwdhxkhw/edit#gid=346597447"",""สระแก้ว!J563"")"),0)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IFERROR(__xludf.DUMMYFUNCTION("IMPORTRANGE(""https://docs.google.com/spreadsheets/d/1SX6NBoVAgQJ6U1MVXOaj8PK2l7WJ3RER9xtqwdhxkhw/edit#gid=346597447"",""สระแก้ว!L563"")"),0)</f>
        <v>0</v>
      </c>
      <c r="M668" s="521"/>
      <c r="N668" s="538">
        <f ca="1">IFERROR(__xludf.DUMMYFUNCTION("IMPORTRANGE(""https://docs.google.com/spreadsheets/d/1SX6NBoVAgQJ6U1MVXOaj8PK2l7WJ3RER9xtqwdhxkhw/edit#gid=346597447"",""สระแก้ว!M563"")"),0)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IFERROR(__xludf.DUMMYFUNCTION("IMPORTRANGE(""https://docs.google.com/spreadsheets/d/1SX6NBoVAgQJ6U1MVXOaj8PK2l7WJ3RER9xtqwdhxkhw/edit#gid=346597447"",""สระแก้ว!J564"")"),0)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IFERROR(__xludf.DUMMYFUNCTION("IMPORTRANGE(""https://docs.google.com/spreadsheets/d/1SX6NBoVAgQJ6U1MVXOaj8PK2l7WJ3RER9xtqwdhxkhw/edit#gid=346597447"",""สระแก้ว!J565"")"),0)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IFERROR(__xludf.DUMMYFUNCTION("IMPORTRANGE(""https://docs.google.com/spreadsheets/d/1SX6NBoVAgQJ6U1MVXOaj8PK2l7WJ3RER9xtqwdhxkhw/edit#gid=346597447"",""สระแก้ว!I566"")"),0)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IFERROR(__xludf.DUMMYFUNCTION("IMPORTRANGE(""https://docs.google.com/spreadsheets/d/1SX6NBoVAgQJ6U1MVXOaj8PK2l7WJ3RER9xtqwdhxkhw/edit#gid=346597447"",""สระแก้ว!L566"")"),0)</f>
        <v>0</v>
      </c>
      <c r="M671" s="521"/>
      <c r="N671" s="538">
        <f ca="1">IFERROR(__xludf.DUMMYFUNCTION("IMPORTRANGE(""https://docs.google.com/spreadsheets/d/1SX6NBoVAgQJ6U1MVXOaj8PK2l7WJ3RER9xtqwdhxkhw/edit#gid=346597447"",""สระแก้ว!M566"")"),0)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IFERROR(__xludf.DUMMYFUNCTION("IMPORTRANGE(""https://docs.google.com/spreadsheets/d/1SX6NBoVAgQJ6U1MVXOaj8PK2l7WJ3RER9xtqwdhxkhw/edit#gid=346597447"",""สระแก้ว!J567"")"),0)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IFERROR(__xludf.DUMMYFUNCTION("IMPORTRANGE(""https://docs.google.com/spreadsheets/d/1SX6NBoVAgQJ6U1MVXOaj8PK2l7WJ3RER9xtqwdhxkhw/edit#gid=346597447"",""สระแก้ว!J568"")"),0)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IFERROR(__xludf.DUMMYFUNCTION("IMPORTRANGE(""https://docs.google.com/spreadsheets/d/1SX6NBoVAgQJ6U1MVXOaj8PK2l7WJ3RER9xtqwdhxkhw/edit#gid=346597447"",""สระแก้ว!J569"")"),0)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IFERROR(__xludf.DUMMYFUNCTION("IMPORTRANGE(""https://docs.google.com/spreadsheets/d/1SX6NBoVAgQJ6U1MVXOaj8PK2l7WJ3RER9xtqwdhxkhw/edit#gid=346597447"",""สระแก้ว!J570"")"),0)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IFERROR(__xludf.DUMMYFUNCTION("IMPORTRANGE(""https://docs.google.com/spreadsheets/d/1SX6NBoVAgQJ6U1MVXOaj8PK2l7WJ3RER9xtqwdhxkhw/edit#gid=346597447"",""สระแก้ว!J571"")"),0)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IFERROR(__xludf.DUMMYFUNCTION("IMPORTRANGE(""https://docs.google.com/spreadsheets/d/1SX6NBoVAgQJ6U1MVXOaj8PK2l7WJ3RER9xtqwdhxkhw/edit#gid=346597447"",""สระแก้ว!J572"")"),0)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4165534</v>
      </c>
      <c r="M8" s="23">
        <f t="shared" ca="1" si="0"/>
        <v>2409420</v>
      </c>
      <c r="N8" s="23">
        <f t="shared" ca="1" si="0"/>
        <v>2747428.87</v>
      </c>
      <c r="O8" s="22">
        <f t="shared" ref="O8:O16" ca="1" si="1">IF(L8&gt;0,N8*100/L8,0)</f>
        <v>65.956222419502524</v>
      </c>
      <c r="P8" s="22">
        <f t="shared" ref="P8:P16" ca="1" si="2">IF(M8&gt;0,N8*100/M8,0)</f>
        <v>114.02864050269359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4165534</v>
      </c>
      <c r="M10" s="30">
        <f t="shared" ca="1" si="4"/>
        <v>2409420</v>
      </c>
      <c r="N10" s="30">
        <f t="shared" ca="1" si="4"/>
        <v>2747428.87</v>
      </c>
      <c r="O10" s="29">
        <f t="shared" ca="1" si="1"/>
        <v>65.956222419502524</v>
      </c>
      <c r="P10" s="29">
        <f t="shared" ca="1" si="2"/>
        <v>114.02864050269359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4041134</v>
      </c>
      <c r="M12" s="38">
        <f t="shared" ca="1" si="6"/>
        <v>2285020</v>
      </c>
      <c r="N12" s="38">
        <f t="shared" ca="1" si="6"/>
        <v>2623028.87</v>
      </c>
      <c r="O12" s="38">
        <f t="shared" ca="1" si="1"/>
        <v>64.908237885702377</v>
      </c>
      <c r="P12" s="38">
        <f t="shared" ca="1" si="2"/>
        <v>114.79238124830417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2177834</v>
      </c>
      <c r="M14" s="38">
        <f t="shared" si="8"/>
        <v>0</v>
      </c>
      <c r="N14" s="38">
        <f t="shared" ca="1" si="8"/>
        <v>813305.67999999993</v>
      </c>
      <c r="O14" s="38">
        <f t="shared" ca="1" si="1"/>
        <v>37.344704876496557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2843720</v>
      </c>
      <c r="M18" s="23">
        <f t="shared" ca="1" si="11"/>
        <v>2409420</v>
      </c>
      <c r="N18" s="23">
        <f t="shared" ca="1" si="11"/>
        <v>1934123.19</v>
      </c>
      <c r="O18" s="22">
        <f t="shared" ref="O18:O20" ca="1" si="12">IF(L18&gt;0,N18*100/L18,0)</f>
        <v>68.013840673484026</v>
      </c>
      <c r="P18" s="22">
        <f t="shared" ref="P18:P26" ca="1" si="13">IF(M18&gt;0,N18*100/M18,0)</f>
        <v>80.273393181761591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2843720</v>
      </c>
      <c r="M20" s="30">
        <f t="shared" ca="1" si="15"/>
        <v>2409420</v>
      </c>
      <c r="N20" s="30">
        <f t="shared" ca="1" si="15"/>
        <v>1934123.19</v>
      </c>
      <c r="O20" s="29">
        <f t="shared" ca="1" si="12"/>
        <v>68.013840673484026</v>
      </c>
      <c r="P20" s="29">
        <f t="shared" ca="1" si="13"/>
        <v>80.273393181761591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2285020</v>
      </c>
      <c r="N22" s="38">
        <f t="shared" ca="1" si="18"/>
        <v>1809723.19</v>
      </c>
      <c r="O22" s="38">
        <f t="shared" ca="1" si="17"/>
        <v>66.550578453436884</v>
      </c>
      <c r="P22" s="38">
        <f t="shared" ca="1" si="13"/>
        <v>79.199446394342274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1321814</v>
      </c>
      <c r="M28" s="23">
        <f t="shared" si="23"/>
        <v>0</v>
      </c>
      <c r="N28" s="23">
        <f t="shared" ca="1" si="23"/>
        <v>813305.67999999993</v>
      </c>
      <c r="O28" s="22">
        <f t="shared" ref="O28:O30" ca="1" si="24">IF(L28&gt;0,N28*100/L28,0)</f>
        <v>61.529510203402296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1321814</v>
      </c>
      <c r="M30" s="30">
        <f t="shared" si="27"/>
        <v>0</v>
      </c>
      <c r="N30" s="30">
        <f t="shared" ca="1" si="27"/>
        <v>813305.67999999993</v>
      </c>
      <c r="O30" s="29">
        <f t="shared" ca="1" si="24"/>
        <v>61.529510203402296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1321814</v>
      </c>
      <c r="M32" s="38">
        <f t="shared" si="30"/>
        <v>0</v>
      </c>
      <c r="N32" s="38">
        <f t="shared" ca="1" si="30"/>
        <v>813305.67999999993</v>
      </c>
      <c r="O32" s="38">
        <f t="shared" ca="1" si="29"/>
        <v>61.529510203402296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1321814</v>
      </c>
      <c r="M34" s="38">
        <f t="shared" si="32"/>
        <v>0</v>
      </c>
      <c r="N34" s="38">
        <f t="shared" ca="1" si="32"/>
        <v>813305.67999999993</v>
      </c>
      <c r="O34" s="38">
        <f t="shared" ca="1" si="29"/>
        <v>61.529510203402296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2409420</v>
      </c>
      <c r="N37" s="54">
        <f t="shared" ca="1" si="33"/>
        <v>1934123.19</v>
      </c>
      <c r="O37" s="55">
        <f t="shared" ca="1" si="29"/>
        <v>68.013840673484026</v>
      </c>
      <c r="P37" s="55">
        <f t="shared" ca="1" si="25"/>
        <v>80.273393181761591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580100</v>
      </c>
      <c r="N41" s="78">
        <f t="shared" ca="1" si="34"/>
        <v>529794.52</v>
      </c>
      <c r="O41" s="77">
        <f t="shared" ref="O41:O43" ca="1" si="35">IF(L41&gt;0,N41*100/L41,0)</f>
        <v>82.767461334166541</v>
      </c>
      <c r="P41" s="77">
        <f t="shared" ref="P41:P43" ca="1" si="36">IF(M41&gt;0,N41*100/M41,0)</f>
        <v>91.3281365281848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580100</v>
      </c>
      <c r="N43" s="78">
        <f t="shared" ca="1" si="38"/>
        <v>529794.52</v>
      </c>
      <c r="O43" s="77">
        <f t="shared" ca="1" si="35"/>
        <v>82.767461334166541</v>
      </c>
      <c r="P43" s="77">
        <f t="shared" ca="1" si="36"/>
        <v>91.3281365281848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IFERROR(__xludf.DUMMYFUNCTION("IMPORTRANGE(""https://docs.google.com/spreadsheets/d/1Yj_ptqi66GCucihVvJfMjLAmec39IyEx_6qawtMGysU/edit?usp=sharing"",""สบก!Q76"")"),580100)</f>
        <v>580100</v>
      </c>
      <c r="N45" s="49">
        <f ca="1">IFERROR(__xludf.DUMMYFUNCTION("IMPORTRANGE(""https://docs.google.com/spreadsheets/d/1Yj_ptqi66GCucihVvJfMjLAmec39IyEx_6qawtMGysU/edit?usp=sharing"",""สบก!R76"")"),529794.52)</f>
        <v>529794.52</v>
      </c>
      <c r="O45" s="38">
        <f ca="1">IF(L45&gt;0,N45*100/L45,0)</f>
        <v>82.767461334166541</v>
      </c>
      <c r="P45" s="38">
        <f ca="1">IF(M45&gt;0,N45*100/M45,0)</f>
        <v>91.3281365281848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358330</v>
      </c>
      <c r="N53" s="121">
        <f t="shared" ca="1" si="39"/>
        <v>320506</v>
      </c>
      <c r="O53" s="120">
        <f t="shared" ref="O53:O55" ca="1" si="40">IF(L53&gt;0,N53*100/L53,0)</f>
        <v>71.223555555555549</v>
      </c>
      <c r="P53" s="120">
        <f t="shared" ref="P53:P55" ca="1" si="41">IF(M53&gt;0,N53*100/M53,0)</f>
        <v>89.444366924343484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358330</v>
      </c>
      <c r="N55" s="121">
        <f t="shared" ca="1" si="43"/>
        <v>320506</v>
      </c>
      <c r="O55" s="120">
        <f t="shared" ca="1" si="40"/>
        <v>71.223555555555549</v>
      </c>
      <c r="P55" s="120">
        <f t="shared" ca="1" si="41"/>
        <v>89.444366924343484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IFERROR(__xludf.DUMMYFUNCTION("IMPORTRANGE(""https://docs.google.com/spreadsheets/d/1Yj_ptqi66GCucihVvJfMjLAmec39IyEx_6qawtMGysU/edit?usp=sharing"",""สบก!Z76"")"),358330)</f>
        <v>358330</v>
      </c>
      <c r="N57" s="49">
        <f ca="1">IFERROR(__xludf.DUMMYFUNCTION("IMPORTRANGE(""https://docs.google.com/spreadsheets/d/1Yj_ptqi66GCucihVvJfMjLAmec39IyEx_6qawtMGysU/edit?usp=sharing"",""สบก!AA76"")"),320506)</f>
        <v>320506</v>
      </c>
      <c r="O57" s="38">
        <f ca="1">IF(L57&gt;0,N57*100/L57,0)</f>
        <v>71.223555555555549</v>
      </c>
      <c r="P57" s="38">
        <f ca="1">IF(M57&gt;0,N57*100/M57,0)</f>
        <v>89.444366924343484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IFERROR(__xludf.DUMMYFUNCTION("IMPORTRANGE(""https://docs.google.com/spreadsheets/d/1Yj_ptqi66GCucihVvJfMjLAmec39IyEx_6qawtMGysU/edit?usp=sharing"",""สบก!AI76"")"),0)</f>
        <v>0</v>
      </c>
      <c r="N70" s="169">
        <f ca="1">IFERROR(__xludf.DUMMYFUNCTION("IMPORTRANGE(""https://docs.google.com/spreadsheets/d/1Yj_ptqi66GCucihVvJfMjLAmec39IyEx_6qawtMGysU/edit?usp=sharing"",""สบก!AJ76"")"),0)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165160</v>
      </c>
      <c r="O94" s="151">
        <f t="shared" ref="O94:O96" ca="1" si="53">IF(L94&gt;0,N94*100/L94,0)</f>
        <v>76.997668997668995</v>
      </c>
      <c r="P94" s="151">
        <f t="shared" ref="P94:P96" ca="1" si="54">IF(M94&gt;0,N94*100/M94,0)</f>
        <v>84.934817824175255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165160</v>
      </c>
      <c r="O96" s="156">
        <f t="shared" ca="1" si="53"/>
        <v>76.997668997668995</v>
      </c>
      <c r="P96" s="156">
        <f t="shared" ca="1" si="54"/>
        <v>84.934817824175255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IFERROR(__xludf.DUMMYFUNCTION("IMPORTRANGE(""https://docs.google.com/spreadsheets/d/1Yj_ptqi66GCucihVvJfMjLAmec39IyEx_6qawtMGysU/edit?usp=sharing"",""สบก!AR76"")"),102055)</f>
        <v>102055</v>
      </c>
      <c r="N98" s="169">
        <f ca="1">IFERROR(__xludf.DUMMYFUNCTION("IMPORTRANGE(""https://docs.google.com/spreadsheets/d/1Yj_ptqi66GCucihVvJfMjLAmec39IyEx_6qawtMGysU/edit?usp=sharing"",""สบก!AS76"")"),72760)</f>
        <v>72760</v>
      </c>
      <c r="O98" s="169">
        <f ca="1">IF(L98&gt;0,N98*100/L98,0)</f>
        <v>59.59049959049959</v>
      </c>
      <c r="P98" s="169">
        <f ca="1">IF(M98&gt;0,N98*100/M98,0)</f>
        <v>71.294890010288569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IFERROR(__xludf.DUMMYFUNCTION("IMPORTRANGE(""https://docs.google.com/spreadsheets/d/1SX6NBoVAgQJ6U1MVXOaj8PK2l7WJ3RER9xtqwdhxkhw/edit?usp=sharing"",""สระบุรี!J50"")"),0)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48700</v>
      </c>
      <c r="O118" s="151">
        <f t="shared" ref="O118:O120" ca="1" si="59">IF(L118&gt;0,N118*100/L118,0)</f>
        <v>75.050084758822621</v>
      </c>
      <c r="P118" s="151">
        <f t="shared" ref="P118:P120" ca="1" si="60">IF(M118&gt;0,N118*100/M118,0)</f>
        <v>75.050084758822621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48700</v>
      </c>
      <c r="O120" s="156">
        <f t="shared" ca="1" si="59"/>
        <v>75.050084758822621</v>
      </c>
      <c r="P120" s="156">
        <f t="shared" ca="1" si="60"/>
        <v>75.050084758822621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IFERROR(__xludf.DUMMYFUNCTION("IMPORTRANGE(""https://docs.google.com/spreadsheets/d/1Yj_ptqi66GCucihVvJfMjLAmec39IyEx_6qawtMGysU/edit?usp=sharing"",""สบก!BA76"")"),64890)</f>
        <v>64890</v>
      </c>
      <c r="N122" s="169">
        <f ca="1">IFERROR(__xludf.DUMMYFUNCTION("IMPORTRANGE(""https://docs.google.com/spreadsheets/d/1Yj_ptqi66GCucihVvJfMjLAmec39IyEx_6qawtMGysU/edit?usp=sharing"",""สบก!BB76"")"),48700)</f>
        <v>48700</v>
      </c>
      <c r="O122" s="169">
        <f ca="1">IF(L122&gt;0,N122*100/L122,0)</f>
        <v>75.050084758822621</v>
      </c>
      <c r="P122" s="169">
        <f ca="1">IF(M122&gt;0,N122*100/M122,0)</f>
        <v>75.050084758822621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IFERROR(__xludf.DUMMYFUNCTION("IMPORTRANGE(""https://docs.google.com/spreadsheets/d/1Yj_ptqi66GCucihVvJfMjLAmec39IyEx_6qawtMGysU/edit?usp=sharing"",""สบก!AX76"")"),64890)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295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IFERROR(__xludf.DUMMYFUNCTION("IMPORTRANGE(""https://docs.google.com/spreadsheets/d/1SX6NBoVAgQJ6U1MVXOaj8PK2l7WJ3RER9xtqwdhxkhw/edit?usp=sharing"",""สระบุรี!J65"")"),0)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IFERROR(__xludf.DUMMYFUNCTION("IMPORTRANGE(""https://docs.google.com/spreadsheets/d/1SX6NBoVAgQJ6U1MVXOaj8PK2l7WJ3RER9xtqwdhxkhw/edit?usp=sharing"",""สระบุรี!I68"")"),15)</f>
        <v>15</v>
      </c>
      <c r="J138" s="267">
        <f ca="1">IFERROR(__xludf.DUMMYFUNCTION("IMPORTRANGE(""https://docs.google.com/spreadsheets/d/1SX6NBoVAgQJ6U1MVXOaj8PK2l7WJ3RER9xtqwdhxkhw/edit?usp=sharing"",""สระบุรี!J68"")"),15)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374200</v>
      </c>
      <c r="M140" s="152">
        <f t="shared" ca="1" si="64"/>
        <v>296825</v>
      </c>
      <c r="N140" s="152">
        <f t="shared" ca="1" si="64"/>
        <v>243625.56</v>
      </c>
      <c r="O140" s="151">
        <f t="shared" ref="O140:O142" ca="1" si="65">IF(L140&gt;0,N140*100/L140,0)</f>
        <v>65.105708177445223</v>
      </c>
      <c r="P140" s="151">
        <f t="shared" ref="P140:P142" ca="1" si="66">IF(M140&gt;0,N140*100/M140,0)</f>
        <v>82.077170049692583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374200</v>
      </c>
      <c r="M142" s="157">
        <f t="shared" ca="1" si="68"/>
        <v>296825</v>
      </c>
      <c r="N142" s="157">
        <f t="shared" ca="1" si="68"/>
        <v>243625.56</v>
      </c>
      <c r="O142" s="156">
        <f t="shared" ca="1" si="65"/>
        <v>65.105708177445223</v>
      </c>
      <c r="P142" s="156">
        <f t="shared" ca="1" si="66"/>
        <v>82.077170049692583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374200</v>
      </c>
      <c r="M144" s="168">
        <f ca="1">IFERROR(__xludf.DUMMYFUNCTION("IMPORTRANGE(""https://docs.google.com/spreadsheets/d/1Yj_ptqi66GCucihVvJfMjLAmec39IyEx_6qawtMGysU/edit?usp=sharing"",""สบก!BJ76"")"),296825)</f>
        <v>296825</v>
      </c>
      <c r="N144" s="169">
        <f ca="1">IFERROR(__xludf.DUMMYFUNCTION("IMPORTRANGE(""https://docs.google.com/spreadsheets/d/1Yj_ptqi66GCucihVvJfMjLAmec39IyEx_6qawtMGysU/edit?usp=sharing"",""สบก!BK76"")"),243625.56)</f>
        <v>243625.56</v>
      </c>
      <c r="O144" s="169">
        <f ca="1">IF(L144&gt;0,N144*100/L144,0)</f>
        <v>65.105708177445223</v>
      </c>
      <c r="P144" s="169">
        <f ca="1">IF(M144&gt;0,N144*100/M144,0)</f>
        <v>82.077170049692583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IFERROR(__xludf.DUMMYFUNCTION("IMPORTRANGE(""https://docs.google.com/spreadsheets/d/1Yj_ptqi66GCucihVvJfMjLAmec39IyEx_6qawtMGysU/edit?usp=sharing"",""สบก!BG76"")"),72600)</f>
        <v>72600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IFERROR(__xludf.DUMMYFUNCTION("IMPORTRANGE(""https://docs.google.com/spreadsheets/d/1SX6NBoVAgQJ6U1MVXOaj8PK2l7WJ3RER9xtqwdhxkhw/edit?usp=sharing"",""สระบุรี!I74"")"),4)</f>
        <v>4</v>
      </c>
      <c r="J149" s="275">
        <f ca="1">IFERROR(__xludf.DUMMYFUNCTION("IMPORTRANGE(""https://docs.google.com/spreadsheets/d/1SX6NBoVAgQJ6U1MVXOaj8PK2l7WJ3RER9xtqwdhxkhw/edit?usp=sharing"",""สระบุรี!J74"")"),2)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IFERROR(__xludf.DUMMYFUNCTION("IMPORTRANGE(""https://docs.google.com/spreadsheets/d/1SX6NBoVAgQJ6U1MVXOaj8PK2l7WJ3RER9xtqwdhxkhw/edit?usp=sharing"",""สระบุรี!I89"")"),3)</f>
        <v>3</v>
      </c>
      <c r="J164" s="284">
        <f ca="1">IFERROR(__xludf.DUMMYFUNCTION("IMPORTRANGE(""https://docs.google.com/spreadsheets/d/1SX6NBoVAgQJ6U1MVXOaj8PK2l7WJ3RER9xtqwdhxkhw/edit?usp=sharing"",""สระบุรี!J89"")"),3)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IFERROR(__xludf.DUMMYFUNCTION("IMPORTRANGE(""https://docs.google.com/spreadsheets/d/1SX6NBoVAgQJ6U1MVXOaj8PK2l7WJ3RER9xtqwdhxkhw/edit?usp=sharing"",""สระบุรี!J100"")"),0)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IFERROR(__xludf.DUMMYFUNCTION("IMPORTRANGE(""https://docs.google.com/spreadsheets/d/1SX6NBoVAgQJ6U1MVXOaj8PK2l7WJ3RER9xtqwdhxkhw/edit?usp=sharing"",""สระบุรี!I101"")"),0)</f>
        <v>0</v>
      </c>
      <c r="J176" s="284">
        <f ca="1">IFERROR(__xludf.DUMMYFUNCTION("IMPORTRANGE(""https://docs.google.com/spreadsheets/d/1SX6NBoVAgQJ6U1MVXOaj8PK2l7WJ3RER9xtqwdhxkhw/edit?usp=sharing"",""สระบุรี!J101"")"),0)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IFERROR(__xludf.DUMMYFUNCTION("IMPORTRANGE(""https://docs.google.com/spreadsheets/d/1SX6NBoVAgQJ6U1MVXOaj8PK2l7WJ3RER9xtqwdhxkhw/edit?usp=sharing"",""สระบุรี!J113"")"),0)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IFERROR(__xludf.DUMMYFUNCTION("IMPORTRANGE(""https://docs.google.com/spreadsheets/d/1SX6NBoVAgQJ6U1MVXOaj8PK2l7WJ3RER9xtqwdhxkhw/edit?usp=sharing"",""สระบุรี!I114"")"),12800)</f>
        <v>12800</v>
      </c>
      <c r="J189" s="284">
        <f ca="1">IFERROR(__xludf.DUMMYFUNCTION("IMPORTRANGE(""https://docs.google.com/spreadsheets/d/1SX6NBoVAgQJ6U1MVXOaj8PK2l7WJ3RER9xtqwdhxkhw/edit?usp=sharing"",""สระบุรี!J114"")"),0)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IFERROR(__xludf.DUMMYFUNCTION("IMPORTRANGE(""https://docs.google.com/spreadsheets/d/1SX6NBoVAgQJ6U1MVXOaj8PK2l7WJ3RER9xtqwdhxkhw/edit?usp=sharing"",""สระบุรี!J128"")"),0)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IFERROR(__xludf.DUMMYFUNCTION("IMPORTRANGE(""https://docs.google.com/spreadsheets/d/1SX6NBoVAgQJ6U1MVXOaj8PK2l7WJ3RER9xtqwdhxkhw/edit?usp=sharing"",""สระบุรี!I129"")"),0)</f>
        <v>0</v>
      </c>
      <c r="J204" s="284">
        <f ca="1">IFERROR(__xludf.DUMMYFUNCTION("IMPORTRANGE(""https://docs.google.com/spreadsheets/d/1SX6NBoVAgQJ6U1MVXOaj8PK2l7WJ3RER9xtqwdhxkhw/edit?usp=sharing"",""สระบุรี!J129"")"),0)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IFERROR(__xludf.DUMMYFUNCTION("IMPORTRANGE(""https://docs.google.com/spreadsheets/d/1SX6NBoVAgQJ6U1MVXOaj8PK2l7WJ3RER9xtqwdhxkhw/edit?usp=sharing"",""สระบุรี!J143"")"),0)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IFERROR(__xludf.DUMMYFUNCTION("IMPORTRANGE(""https://docs.google.com/spreadsheets/d/1SX6NBoVAgQJ6U1MVXOaj8PK2l7WJ3RER9xtqwdhxkhw/edit?usp=sharing"",""สระบุรี!I144"")"),14)</f>
        <v>14</v>
      </c>
      <c r="J219" s="267">
        <f ca="1">IFERROR(__xludf.DUMMYFUNCTION("IMPORTRANGE(""https://docs.google.com/spreadsheets/d/1SX6NBoVAgQJ6U1MVXOaj8PK2l7WJ3RER9xtqwdhxkhw/edit?usp=sharing"",""สระบุรี!J144"")"),14)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19105</v>
      </c>
      <c r="O220" s="151">
        <f t="shared" ref="O220:O222" ca="1" si="73">IF(L220&gt;0,N220*100/L220,0)</f>
        <v>94.532409698169218</v>
      </c>
      <c r="P220" s="151">
        <f t="shared" ref="P220:P222" ca="1" si="74">IF(M220&gt;0,N220*100/M220,0)</f>
        <v>94.532409698169218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19105</v>
      </c>
      <c r="O222" s="156">
        <f t="shared" ca="1" si="73"/>
        <v>94.532409698169218</v>
      </c>
      <c r="P222" s="156">
        <f t="shared" ca="1" si="74"/>
        <v>94.532409698169218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IFERROR(__xludf.DUMMYFUNCTION("IMPORTRANGE(""https://docs.google.com/spreadsheets/d/1Yj_ptqi66GCucihVvJfMjLAmec39IyEx_6qawtMGysU/edit?usp=sharing"",""สบก!BT76"")"),19105)</f>
        <v>19105</v>
      </c>
      <c r="O224" s="169">
        <f ca="1">IF(L224&gt;0,N224*100/L224,0)</f>
        <v>94.532409698169218</v>
      </c>
      <c r="P224" s="169">
        <f ca="1">IF(M224&gt;0,N224*100/M224,0)</f>
        <v>94.532409698169218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IFERROR(__xludf.DUMMYFUNCTION("IMPORTRANGE(""https://docs.google.com/spreadsheets/d/1SX6NBoVAgQJ6U1MVXOaj8PK2l7WJ3RER9xtqwdhxkhw/edit?usp=sharing"",""สระบุรี!I149"")"),14)</f>
        <v>14</v>
      </c>
      <c r="J229" s="267">
        <f ca="1">IFERROR(__xludf.DUMMYFUNCTION("IMPORTRANGE(""https://docs.google.com/spreadsheets/d/1SX6NBoVAgQJ6U1MVXOaj8PK2l7WJ3RER9xtqwdhxkhw/edit?usp=sharing"",""สระบุรี!J149"")"),14)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IFERROR(__xludf.DUMMYFUNCTION("IMPORTRANGE(""https://docs.google.com/spreadsheets/d/1SX6NBoVAgQJ6U1MVXOaj8PK2l7WJ3RER9xtqwdhxkhw/edit?usp=sharing"",""สระบุรี!J157"")"),0)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IFERROR(__xludf.DUMMYFUNCTION("IMPORTRANGE(""https://docs.google.com/spreadsheets/d/1SX6NBoVAgQJ6U1MVXOaj8PK2l7WJ3RER9xtqwdhxkhw/edit?usp=sharing"",""สระบุรี!I158"")"),0)</f>
        <v>0</v>
      </c>
      <c r="J238" s="267">
        <f ca="1">IFERROR(__xludf.DUMMYFUNCTION("IMPORTRANGE(""https://docs.google.com/spreadsheets/d/1SX6NBoVAgQJ6U1MVXOaj8PK2l7WJ3RER9xtqwdhxkhw/edit?usp=sharing"",""สระบุรี!J158"")"),0)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IFERROR(__xludf.DUMMYFUNCTION("IMPORTRANGE(""https://docs.google.com/spreadsheets/d/1SX6NBoVAgQJ6U1MVXOaj8PK2l7WJ3RER9xtqwdhxkhw/edit?usp=sharing"",""สระบุรี!J166"")"),0)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IFERROR(__xludf.DUMMYFUNCTION("IMPORTRANGE(""https://docs.google.com/spreadsheets/d/1SX6NBoVAgQJ6U1MVXOaj8PK2l7WJ3RER9xtqwdhxkhw/edit?usp=sharing"",""สระบุรี!I169"")"),20)</f>
        <v>20</v>
      </c>
      <c r="J249" s="316">
        <f ca="1">IFERROR(__xludf.DUMMYFUNCTION("IMPORTRANGE(""https://docs.google.com/spreadsheets/d/1SX6NBoVAgQJ6U1MVXOaj8PK2l7WJ3RER9xtqwdhxkhw/edit?usp=sharing"",""สระบุรี!J169"")"),20)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159400</v>
      </c>
      <c r="N250" s="152">
        <f t="shared" ca="1" si="77"/>
        <v>121876</v>
      </c>
      <c r="O250" s="151">
        <f t="shared" ref="O250:O252" ca="1" si="78">IF(L250&gt;0,N250*100/L250,0)</f>
        <v>67.18632855567806</v>
      </c>
      <c r="P250" s="151">
        <f t="shared" ref="P250:P252" ca="1" si="79">IF(M250&gt;0,N250*100/M250,0)</f>
        <v>76.459222082810541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159400</v>
      </c>
      <c r="N252" s="157">
        <f t="shared" ca="1" si="81"/>
        <v>121876</v>
      </c>
      <c r="O252" s="156">
        <f t="shared" ca="1" si="78"/>
        <v>67.18632855567806</v>
      </c>
      <c r="P252" s="156">
        <f t="shared" ca="1" si="79"/>
        <v>76.459222082810541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IFERROR(__xludf.DUMMYFUNCTION("IMPORTRANGE(""https://docs.google.com/spreadsheets/d/1Yj_ptqi66GCucihVvJfMjLAmec39IyEx_6qawtMGysU/edit?usp=sharing"",""สบก!CB76"")"),159400)</f>
        <v>159400</v>
      </c>
      <c r="N254" s="169">
        <f ca="1">IFERROR(__xludf.DUMMYFUNCTION("IMPORTRANGE(""https://docs.google.com/spreadsheets/d/1Yj_ptqi66GCucihVvJfMjLAmec39IyEx_6qawtMGysU/edit?usp=sharing"",""สบก!CC76"")"),121876)</f>
        <v>121876</v>
      </c>
      <c r="O254" s="169">
        <f ca="1">IF(L254&gt;0,N254*100/L254,0)</f>
        <v>67.18632855567806</v>
      </c>
      <c r="P254" s="169">
        <f ca="1">IF(M254&gt;0,N254*100/M254,0)</f>
        <v>76.459222082810541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IFERROR(__xludf.DUMMYFUNCTION("IMPORTRANGE(""https://docs.google.com/spreadsheets/d/1SX6NBoVAgQJ6U1MVXOaj8PK2l7WJ3RER9xtqwdhxkhw/edit?usp=sharing"",""สระบุรี!J184"")"),0)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IFERROR(__xludf.DUMMYFUNCTION("IMPORTRANGE(""https://docs.google.com/spreadsheets/d/1SX6NBoVAgQJ6U1MVXOaj8PK2l7WJ3RER9xtqwdhxkhw/edit?usp=sharing"",""สระบุรี!I185"")"),15)</f>
        <v>15</v>
      </c>
      <c r="J270" s="316">
        <f ca="1">IFERROR(__xludf.DUMMYFUNCTION("IMPORTRANGE(""https://docs.google.com/spreadsheets/d/1SX6NBoVAgQJ6U1MVXOaj8PK2l7WJ3RER9xtqwdhxkhw/edit?usp=sharing"",""สระบุรี!J185"")"),15)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IFERROR(__xludf.DUMMYFUNCTION("IMPORTRANGE(""https://docs.google.com/spreadsheets/d/1Yj_ptqi66GCucihVvJfMjLAmec39IyEx_6qawtMGysU/edit?usp=sharing"",""สบก!CK76"")"),32250)</f>
        <v>32250</v>
      </c>
      <c r="N275" s="169">
        <f ca="1">IFERROR(__xludf.DUMMYFUNCTION("IMPORTRANGE(""https://docs.google.com/spreadsheets/d/1Yj_ptqi66GCucihVvJfMjLAmec39IyEx_6qawtMGysU/edit?usp=sharing"",""สบก!CL76"")"),32250)</f>
        <v>32250</v>
      </c>
      <c r="O275" s="169">
        <f ca="1">IF(L275&gt;0,N275*100/L275,0)</f>
        <v>58.423913043478258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IFERROR(__xludf.DUMMYFUNCTION("IMPORTRANGE(""https://docs.google.com/spreadsheets/d/1SX6NBoVAgQJ6U1MVXOaj8PK2l7WJ3RER9xtqwdhxkhw/edit?usp=sharing"",""สระบุรี!J197"")"),0)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IFERROR(__xludf.DUMMYFUNCTION("IMPORTRANGE(""https://docs.google.com/spreadsheets/d/1SX6NBoVAgQJ6U1MVXOaj8PK2l7WJ3RER9xtqwdhxkhw/edit?usp=sharing"",""สระบุรี!I199"")"),0)</f>
        <v>0</v>
      </c>
      <c r="J289" s="316">
        <f ca="1">IFERROR(__xludf.DUMMYFUNCTION("IMPORTRANGE(""https://docs.google.com/spreadsheets/d/1SX6NBoVAgQJ6U1MVXOaj8PK2l7WJ3RER9xtqwdhxkhw/edit?usp=sharing"",""สระบุรี!J199"")"),0)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IFERROR(__xludf.DUMMYFUNCTION("IMPORTRANGE(""https://docs.google.com/spreadsheets/d/1SX6NBoVAgQJ6U1MVXOaj8PK2l7WJ3RER9xtqwdhxkhw/edit?usp=sharing"",""สระบุรี!J213"")"),0)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IFERROR(__xludf.DUMMYFUNCTION("IMPORTRANGE(""https://docs.google.com/spreadsheets/d/1SX6NBoVAgQJ6U1MVXOaj8PK2l7WJ3RER9xtqwdhxkhw/edit?usp=sharing"",""สระบุรี!I214"")"),0)</f>
        <v>0</v>
      </c>
      <c r="J309" s="333">
        <f ca="1">IFERROR(__xludf.DUMMYFUNCTION("IMPORTRANGE(""https://docs.google.com/spreadsheets/d/1SX6NBoVAgQJ6U1MVXOaj8PK2l7WJ3RER9xtqwdhxkhw/edit?usp=sharing"",""สระบุรี!J214"")"),0)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IFERROR(__xludf.DUMMYFUNCTION("IMPORTRANGE(""https://docs.google.com/spreadsheets/d/1SX6NBoVAgQJ6U1MVXOaj8PK2l7WJ3RER9xtqwdhxkhw/edit?usp=sharing"",""สระบุรี!J226"")"),0)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IFERROR(__xludf.DUMMYFUNCTION("IMPORTRANGE(""https://docs.google.com/spreadsheets/d/1SX6NBoVAgQJ6U1MVXOaj8PK2l7WJ3RER9xtqwdhxkhw/edit?usp=sharing"",""สระบุรี!I228"")"),150)</f>
        <v>150</v>
      </c>
      <c r="J328" s="339">
        <f ca="1">IFERROR(__xludf.DUMMYFUNCTION("IMPORTRANGE(""https://docs.google.com/spreadsheets/d/1SX6NBoVAgQJ6U1MVXOaj8PK2l7WJ3RER9xtqwdhxkhw/edit?usp=sharing"",""สระบุรี!J228"")"),141)</f>
        <v>141</v>
      </c>
      <c r="K328" s="317">
        <f ca="1">IF(I328&gt;0,J328*100/I328,0)</f>
        <v>94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843220</v>
      </c>
      <c r="M329" s="152">
        <f t="shared" ca="1" si="98"/>
        <v>702960</v>
      </c>
      <c r="N329" s="152">
        <f t="shared" ca="1" si="98"/>
        <v>453106.11</v>
      </c>
      <c r="O329" s="151">
        <f t="shared" ref="O329:O331" ca="1" si="99">IF(L329&gt;0,N329*100/L329,0)</f>
        <v>53.735218566922036</v>
      </c>
      <c r="P329" s="151">
        <f t="shared" ref="P329:P331" ca="1" si="100">IF(M329&gt;0,N329*100/M329,0)</f>
        <v>64.456883748719704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843220</v>
      </c>
      <c r="M331" s="157">
        <f t="shared" ca="1" si="102"/>
        <v>702960</v>
      </c>
      <c r="N331" s="157">
        <f t="shared" ca="1" si="102"/>
        <v>453106.11</v>
      </c>
      <c r="O331" s="156">
        <f t="shared" ca="1" si="99"/>
        <v>53.735218566922036</v>
      </c>
      <c r="P331" s="156">
        <f t="shared" ca="1" si="100"/>
        <v>64.456883748719704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811220</v>
      </c>
      <c r="M333" s="168">
        <f ca="1">IFERROR(__xludf.DUMMYFUNCTION("IMPORTRANGE(""https://docs.google.com/spreadsheets/d/1Yj_ptqi66GCucihVvJfMjLAmec39IyEx_6qawtMGysU/edit?usp=sharing"",""สบก!DL76"")"),670960)</f>
        <v>670960</v>
      </c>
      <c r="N333" s="169">
        <f ca="1">IFERROR(__xludf.DUMMYFUNCTION("IMPORTRANGE(""https://docs.google.com/spreadsheets/d/1Yj_ptqi66GCucihVvJfMjLAmec39IyEx_6qawtMGysU/edit?usp=sharing"",""สบก!DM76"")"),421106.11)</f>
        <v>421106.11</v>
      </c>
      <c r="O333" s="169">
        <f ca="1">IF(L333&gt;0,N333*100/L333,0)</f>
        <v>51.910222874189493</v>
      </c>
      <c r="P333" s="169">
        <f ca="1">IF(M333&gt;0,N333*100/M333,0)</f>
        <v>62.761730952664841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IFERROR(__xludf.DUMMYFUNCTION("IMPORTRANGE(""https://docs.google.com/spreadsheets/d/1Yj_ptqi66GCucihVvJfMjLAmec39IyEx_6qawtMGysU/edit?usp=sharing"",""สบก!DI76"")"),339620)</f>
        <v>339620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IFERROR(__xludf.DUMMYFUNCTION("IMPORTRANGE(""https://docs.google.com/spreadsheets/d/1SX6NBoVAgQJ6U1MVXOaj8PK2l7WJ3RER9xtqwdhxkhw/edit?usp=sharing"",""สระบุรี!J234"")"),5)</f>
        <v>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IFERROR(__xludf.DUMMYFUNCTION("IMPORTRANGE(""https://docs.google.com/spreadsheets/d/1SX6NBoVAgQJ6U1MVXOaj8PK2l7WJ3RER9xtqwdhxkhw/edit?usp=sharing"",""สระบุรี!J235"")"),52.34)</f>
        <v>52.34</v>
      </c>
      <c r="K340" s="342">
        <f t="shared" ca="1" si="103"/>
        <v>3.1914634146341463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IFERROR(__xludf.DUMMYFUNCTION("IMPORTRANGE(""https://docs.google.com/spreadsheets/d/1SX6NBoVAgQJ6U1MVXOaj8PK2l7WJ3RER9xtqwdhxkhw/edit?usp=sharing"",""สระบุรี!J236"")"),141)</f>
        <v>141</v>
      </c>
      <c r="K341" s="342">
        <f t="shared" ca="1" si="103"/>
        <v>94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IFERROR(__xludf.DUMMYFUNCTION("IMPORTRANGE(""https://docs.google.com/spreadsheets/d/1SX6NBoVAgQJ6U1MVXOaj8PK2l7WJ3RER9xtqwdhxkhw/edit?usp=sharing"",""สระบุรี!J237"")"),2685.13)</f>
        <v>2685.13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IFERROR(__xludf.DUMMYFUNCTION("IMPORTRANGE(""https://docs.google.com/spreadsheets/d/1SX6NBoVAgQJ6U1MVXOaj8PK2l7WJ3RER9xtqwdhxkhw/edit?usp=sharing"",""สระบุรี!J240"")"),141)</f>
        <v>141</v>
      </c>
      <c r="K345" s="342">
        <f t="shared" ca="1" si="103"/>
        <v>94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IFERROR(__xludf.DUMMYFUNCTION("IMPORTRANGE(""https://docs.google.com/spreadsheets/d/1SX6NBoVAgQJ6U1MVXOaj8PK2l7WJ3RER9xtqwdhxkhw/edit?usp=sharing"",""สระบุรี!J241"")"),2685.13)</f>
        <v>2685.13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IFERROR(__xludf.DUMMYFUNCTION("IMPORTRANGE(""https://docs.google.com/spreadsheets/d/1SX6NBoVAgQJ6U1MVXOaj8PK2l7WJ3RER9xtqwdhxkhw/edit?usp=sharing"",""สระบุรี!L242"")"),1321814)</f>
        <v>1321814</v>
      </c>
      <c r="M347" s="358"/>
      <c r="N347" s="358">
        <f ca="1">IFERROR(__xludf.DUMMYFUNCTION("IMPORTRANGE(""https://docs.google.com/spreadsheets/d/1SX6NBoVAgQJ6U1MVXOaj8PK2l7WJ3RER9xtqwdhxkhw/edit?usp=sharing"",""สระบุรี!M242"")"),813305.679999999)</f>
        <v>813305.679999999</v>
      </c>
      <c r="O347" s="358">
        <f ca="1">+IF(L347&gt;0,N347*100/L347,0)</f>
        <v>61.529510203402218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IFERROR(__xludf.DUMMYFUNCTION("IMPORTRANGE(""https://docs.google.com/spreadsheets/d/1SX6NBoVAgQJ6U1MVXOaj8PK2l7WJ3RER9xtqwdhxkhw/edit?usp=sharing"",""สระบุรี!M244"")"),58600)</f>
        <v>58600</v>
      </c>
      <c r="O349" s="373">
        <f ca="1">+IF(L349&gt;0,N349*100/L349,0)</f>
        <v>62.929553264604813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IFERROR(__xludf.DUMMYFUNCTION("IMPORTRANGE(""https://docs.google.com/spreadsheets/d/1SX6NBoVAgQJ6U1MVXOaj8PK2l7WJ3RER9xtqwdhxkhw/edit?usp=sharing"",""สระบุรี!M247"")"),58600)</f>
        <v>58600</v>
      </c>
      <c r="O352" s="165">
        <f t="shared" ca="1" si="105"/>
        <v>62.929553264604813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IFERROR(__xludf.DUMMYFUNCTION("IMPORTRANGE(""https://docs.google.com/spreadsheets/d/1SX6NBoVAgQJ6U1MVXOaj8PK2l7WJ3RER9xtqwdhxkhw/edit?usp=sharing"",""สระบุรี!M249"")"),58600)</f>
        <v>58600</v>
      </c>
      <c r="O354" s="169">
        <f t="shared" ca="1" si="105"/>
        <v>62.929553264604813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IFERROR(__xludf.DUMMYFUNCTION("IMPORTRANGE(""https://docs.google.com/spreadsheets/d/1SX6NBoVAgQJ6U1MVXOaj8PK2l7WJ3RER9xtqwdhxkhw/edit?usp=sharing"",""สระบุรี!M253"")"),58600)</f>
        <v>58600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IFERROR(__xludf.DUMMYFUNCTION("IMPORTRANGE(""https://docs.google.com/spreadsheets/d/1SX6NBoVAgQJ6U1MVXOaj8PK2l7WJ3RER9xtqwdhxkhw/edit?usp=sharing"",""สระบุรี!J274"")"),0)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IFERROR(__xludf.DUMMYFUNCTION("IMPORTRANGE(""https://docs.google.com/spreadsheets/d/1SX6NBoVAgQJ6U1MVXOaj8PK2l7WJ3RER9xtqwdhxkhw/edit?usp=sharing"",""สระบุรี!M275"")"),204640)</f>
        <v>204640</v>
      </c>
      <c r="O380" s="373">
        <f ca="1">+IF(L380&gt;0,N380*100/L380,0)</f>
        <v>98.593177876276741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IFERROR(__xludf.DUMMYFUNCTION("IMPORTRANGE(""https://docs.google.com/spreadsheets/d/1SX6NBoVAgQJ6U1MVXOaj8PK2l7WJ3RER9xtqwdhxkhw/edit?usp=sharing"",""สระบุรี!M278"")"),204640)</f>
        <v>204640</v>
      </c>
      <c r="O383" s="165">
        <f t="shared" ca="1" si="109"/>
        <v>98.593177876276741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IFERROR(__xludf.DUMMYFUNCTION("IMPORTRANGE(""https://docs.google.com/spreadsheets/d/1SX6NBoVAgQJ6U1MVXOaj8PK2l7WJ3RER9xtqwdhxkhw/edit?usp=sharing"",""สระบุรี!M280"")"),204640)</f>
        <v>204640</v>
      </c>
      <c r="O385" s="169">
        <f t="shared" ca="1" si="109"/>
        <v>98.593177876276741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IFERROR(__xludf.DUMMYFUNCTION("IMPORTRANGE(""https://docs.google.com/spreadsheets/d/1SX6NBoVAgQJ6U1MVXOaj8PK2l7WJ3RER9xtqwdhxkhw/edit?usp=sharing"",""สระบุรี!M281"")"),59980)</f>
        <v>59980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IFERROR(__xludf.DUMMYFUNCTION("IMPORTRANGE(""https://docs.google.com/spreadsheets/d/1SX6NBoVAgQJ6U1MVXOaj8PK2l7WJ3RER9xtqwdhxkhw/edit?usp=sharing"",""สระบุรี!M284"")"),19660)</f>
        <v>19660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IFERROR(__xludf.DUMMYFUNCTION("IMPORTRANGE(""https://docs.google.com/spreadsheets/d/1SX6NBoVAgQJ6U1MVXOaj8PK2l7WJ3RER9xtqwdhxkhw/edit?usp=sharing"",""สระบุรี!J295"")"),0)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IFERROR(__xludf.DUMMYFUNCTION("IMPORTRANGE(""https://docs.google.com/spreadsheets/d/1SX6NBoVAgQJ6U1MVXOaj8PK2l7WJ3RER9xtqwdhxkhw/edit?usp=sharing"",""สระบุรี!M296"")"),78300)</f>
        <v>78300</v>
      </c>
      <c r="O401" s="373">
        <f ca="1">+IF(L401&gt;0,N401*100/L401,0)</f>
        <v>76.824960753532181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IFERROR(__xludf.DUMMYFUNCTION("IMPORTRANGE(""https://docs.google.com/spreadsheets/d/1SX6NBoVAgQJ6U1MVXOaj8PK2l7WJ3RER9xtqwdhxkhw/edit?usp=sharing"",""สระบุรี!M299"")"),78300)</f>
        <v>78300</v>
      </c>
      <c r="O404" s="169">
        <f t="shared" ca="1" si="112"/>
        <v>76.824960753532181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IFERROR(__xludf.DUMMYFUNCTION("IMPORTRANGE(""https://docs.google.com/spreadsheets/d/1SX6NBoVAgQJ6U1MVXOaj8PK2l7WJ3RER9xtqwdhxkhw/edit?usp=sharing"",""สระบุรี!M301"")"),78300)</f>
        <v>78300</v>
      </c>
      <c r="O406" s="169">
        <f t="shared" ca="1" si="112"/>
        <v>76.824960753532181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IFERROR(__xludf.DUMMYFUNCTION("IMPORTRANGE(""https://docs.google.com/spreadsheets/d/1SX6NBoVAgQJ6U1MVXOaj8PK2l7WJ3RER9xtqwdhxkhw/edit?usp=sharing"",""สระบุรี!M302"")"),44168)</f>
        <v>44168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IFERROR(__xludf.DUMMYFUNCTION("IMPORTRANGE(""https://docs.google.com/spreadsheets/d/1SX6NBoVAgQJ6U1MVXOaj8PK2l7WJ3RER9xtqwdhxkhw/edit?usp=sharing"",""สระบุรี!M305"")"),34132)</f>
        <v>34132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IFERROR(__xludf.DUMMYFUNCTION("IMPORTRANGE(""https://docs.google.com/spreadsheets/d/1SX6NBoVAgQJ6U1MVXOaj8PK2l7WJ3RER9xtqwdhxkhw/edit?usp=sharing"",""สระบุรี!M330"")"),54900)</f>
        <v>54900</v>
      </c>
      <c r="O435" s="412">
        <f t="shared" ref="O435:O439" ca="1" si="114">+IF(L435&gt;0,N435*100/L435,0)</f>
        <v>62.386363636363633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IFERROR(__xludf.DUMMYFUNCTION("IMPORTRANGE(""https://docs.google.com/spreadsheets/d/1SX6NBoVAgQJ6U1MVXOaj8PK2l7WJ3RER9xtqwdhxkhw/edit?usp=sharing"",""สระบุรี!M332"")"),54900)</f>
        <v>54900</v>
      </c>
      <c r="O437" s="169">
        <f t="shared" ca="1" si="114"/>
        <v>62.386363636363633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IFERROR(__xludf.DUMMYFUNCTION("IMPORTRANGE(""https://docs.google.com/spreadsheets/d/1SX6NBoVAgQJ6U1MVXOaj8PK2l7WJ3RER9xtqwdhxkhw/edit?usp=sharing"",""สระบุรี!M334"")"),54900)</f>
        <v>54900</v>
      </c>
      <c r="O439" s="169">
        <f t="shared" ca="1" si="114"/>
        <v>62.386363636363633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IFERROR(__xludf.DUMMYFUNCTION("IMPORTRANGE(""https://docs.google.com/spreadsheets/d/1SX6NBoVAgQJ6U1MVXOaj8PK2l7WJ3RER9xtqwdhxkhw/edit?usp=sharing"",""สระบุรี!M335"")"),34280)</f>
        <v>34280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IFERROR(__xludf.DUMMYFUNCTION("IMPORTRANGE(""https://docs.google.com/spreadsheets/d/1SX6NBoVAgQJ6U1MVXOaj8PK2l7WJ3RER9xtqwdhxkhw/edit?usp=sharing"",""สระบุรี!M338"")"),20620)</f>
        <v>20620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IFERROR(__xludf.DUMMYFUNCTION("IMPORTRANGE(""https://docs.google.com/spreadsheets/d/1SX6NBoVAgQJ6U1MVXOaj8PK2l7WJ3RER9xtqwdhxkhw/edit?usp=sharing"",""สระบุรี!J350"")"),4949)</f>
        <v>4949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IFERROR(__xludf.DUMMYFUNCTION("IMPORTRANGE(""https://docs.google.com/spreadsheets/d/1SX6NBoVAgQJ6U1MVXOaj8PK2l7WJ3RER9xtqwdhxkhw/edit?usp=sharing"",""สระบุรี!L350"")"),288044)</f>
        <v>288044</v>
      </c>
      <c r="M455" s="373"/>
      <c r="N455" s="373">
        <f ca="1">IFERROR(__xludf.DUMMYFUNCTION("IMPORTRANGE(""https://docs.google.com/spreadsheets/d/1SX6NBoVAgQJ6U1MVXOaj8PK2l7WJ3RER9xtqwdhxkhw/edit?usp=sharing"",""สระบุรี!M350"")"),106649)</f>
        <v>106649</v>
      </c>
      <c r="O455" s="373">
        <f t="shared" ref="O455:O459" ca="1" si="116">+IF(L455&gt;0,N455*100/L455,0)</f>
        <v>37.02524614295038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IFERROR(__xludf.DUMMYFUNCTION("IMPORTRANGE(""https://docs.google.com/spreadsheets/d/1SX6NBoVAgQJ6U1MVXOaj8PK2l7WJ3RER9xtqwdhxkhw/edit?usp=sharing"",""สระบุรี!L352"")"),288044)</f>
        <v>288044</v>
      </c>
      <c r="M457" s="165"/>
      <c r="N457" s="169">
        <f ca="1">IFERROR(__xludf.DUMMYFUNCTION("IMPORTRANGE(""https://docs.google.com/spreadsheets/d/1SX6NBoVAgQJ6U1MVXOaj8PK2l7WJ3RER9xtqwdhxkhw/edit?usp=sharing"",""สระบุรี!M352"")"),106649)</f>
        <v>106649</v>
      </c>
      <c r="O457" s="169">
        <f t="shared" ca="1" si="116"/>
        <v>37.02524614295038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IFERROR(__xludf.DUMMYFUNCTION("IMPORTRANGE(""https://docs.google.com/spreadsheets/d/1SX6NBoVAgQJ6U1MVXOaj8PK2l7WJ3RER9xtqwdhxkhw/edit?usp=sharing"",""สระบุรี!L354"")"),288044)</f>
        <v>288044</v>
      </c>
      <c r="M459" s="169"/>
      <c r="N459" s="169">
        <f ca="1">IFERROR(__xludf.DUMMYFUNCTION("IMPORTRANGE(""https://docs.google.com/spreadsheets/d/1SX6NBoVAgQJ6U1MVXOaj8PK2l7WJ3RER9xtqwdhxkhw/edit?usp=sharing"",""สระบุรี!M354"")"),106649)</f>
        <v>106649</v>
      </c>
      <c r="O459" s="169">
        <f t="shared" ca="1" si="116"/>
        <v>37.02524614295038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IFERROR(__xludf.DUMMYFUNCTION("IMPORTRANGE(""https://docs.google.com/spreadsheets/d/1SX6NBoVAgQJ6U1MVXOaj8PK2l7WJ3RER9xtqwdhxkhw/edit?usp=sharing"",""สระบุรี!M358"")"),106649)</f>
        <v>106649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IFERROR(__xludf.DUMMYFUNCTION("IMPORTRANGE(""https://docs.google.com/spreadsheets/d/1SX6NBoVAgQJ6U1MVXOaj8PK2l7WJ3RER9xtqwdhxkhw/edit?usp=sharing"",""สระบุรี!I359"")"),4949)</f>
        <v>4949</v>
      </c>
      <c r="J464" s="267">
        <f ca="1">IFERROR(__xludf.DUMMYFUNCTION("IMPORTRANGE(""https://docs.google.com/spreadsheets/d/1SX6NBoVAgQJ6U1MVXOaj8PK2l7WJ3RER9xtqwdhxkhw/edit?usp=sharing"",""สระบุรี!J359"")"),4949)</f>
        <v>4949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IFERROR(__xludf.DUMMYFUNCTION("IMPORTRANGE(""https://docs.google.com/spreadsheets/d/1SX6NBoVAgQJ6U1MVXOaj8PK2l7WJ3RER9xtqwdhxkhw/edit?usp=sharing"",""สระบุรี!J360"")"),4949)</f>
        <v>4949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IFERROR(__xludf.DUMMYFUNCTION("IMPORTRANGE(""https://docs.google.com/spreadsheets/d/1SX6NBoVAgQJ6U1MVXOaj8PK2l7WJ3RER9xtqwdhxkhw/edit?usp=sharing"",""สระบุรี!J362"")"),3335)</f>
        <v>3335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IFERROR(__xludf.DUMMYFUNCTION("IMPORTRANGE(""https://docs.google.com/spreadsheets/d/1SX6NBoVAgQJ6U1MVXOaj8PK2l7WJ3RER9xtqwdhxkhw/edit?usp=sharing"",""สระบุรี!J364"")"),634)</f>
        <v>634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IFERROR(__xludf.DUMMYFUNCTION("IMPORTRANGE(""https://docs.google.com/spreadsheets/d/1SX6NBoVAgQJ6U1MVXOaj8PK2l7WJ3RER9xtqwdhxkhw/edit?usp=sharing"",""สระบุรี!J366"")"),980)</f>
        <v>980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IFERROR(__xludf.DUMMYFUNCTION("IMPORTRANGE(""https://docs.google.com/spreadsheets/d/1SX6NBoVAgQJ6U1MVXOaj8PK2l7WJ3RER9xtqwdhxkhw/edit?usp=sharing"",""สระบุรี!J368"")"),4949)</f>
        <v>4949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IFERROR(__xludf.DUMMYFUNCTION("IMPORTRANGE(""https://docs.google.com/spreadsheets/d/1SX6NBoVAgQJ6U1MVXOaj8PK2l7WJ3RER9xtqwdhxkhw/edit?usp=sharing"",""สระบุรี!J372"")"),618)</f>
        <v>618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IFERROR(__xludf.DUMMYFUNCTION("IMPORTRANGE(""https://docs.google.com/spreadsheets/d/1SX6NBoVAgQJ6U1MVXOaj8PK2l7WJ3RER9xtqwdhxkhw/edit?usp=sharing"",""สระบุรี!J376"")"),4949)</f>
        <v>4949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IFERROR(__xludf.DUMMYFUNCTION("IMPORTRANGE(""https://docs.google.com/spreadsheets/d/1SX6NBoVAgQJ6U1MVXOaj8PK2l7WJ3RER9xtqwdhxkhw/edit?usp=sharing"",""สระบุรี!J380"")"),618)</f>
        <v>618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IFERROR(__xludf.DUMMYFUNCTION("IMPORTRANGE(""https://docs.google.com/spreadsheets/d/1SX6NBoVAgQJ6U1MVXOaj8PK2l7WJ3RER9xtqwdhxkhw/edit?usp=sharing"",""สระบุรี!I411"")"),0)</f>
        <v>0</v>
      </c>
      <c r="J516" s="267">
        <f ca="1">IFERROR(__xludf.DUMMYFUNCTION("IMPORTRANGE(""https://docs.google.com/spreadsheets/d/1SX6NBoVAgQJ6U1MVXOaj8PK2l7WJ3RER9xtqwdhxkhw/edit?usp=sharing"",""สระบุรี!J411"")"),0)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IFERROR(__xludf.DUMMYFUNCTION("IMPORTRANGE(""https://docs.google.com/spreadsheets/d/1SX6NBoVAgQJ6U1MVXOaj8PK2l7WJ3RER9xtqwdhxkhw/edit?usp=sharing"",""สระบุรี!I412"")"),0)</f>
        <v>0</v>
      </c>
      <c r="J517" s="284">
        <f ca="1">IFERROR(__xludf.DUMMYFUNCTION("IMPORTRANGE(""https://docs.google.com/spreadsheets/d/1SX6NBoVAgQJ6U1MVXOaj8PK2l7WJ3RER9xtqwdhxkhw/edit?usp=sharing"",""สระบุรี!J412"")"),0)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IFERROR(__xludf.DUMMYFUNCTION("IMPORTRANGE(""https://docs.google.com/spreadsheets/d/1SX6NBoVAgQJ6U1MVXOaj8PK2l7WJ3RER9xtqwdhxkhw/edit?usp=sharing"",""สระบุรี!I413"")"),0)</f>
        <v>0</v>
      </c>
      <c r="J518" s="284">
        <f ca="1">IFERROR(__xludf.DUMMYFUNCTION("IMPORTRANGE(""https://docs.google.com/spreadsheets/d/1SX6NBoVAgQJ6U1MVXOaj8PK2l7WJ3RER9xtqwdhxkhw/edit?usp=sharing"",""สระบุรี!J413"")"),0)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IFERROR(__xludf.DUMMYFUNCTION("IMPORTRANGE(""https://docs.google.com/spreadsheets/d/1SX6NBoVAgQJ6U1MVXOaj8PK2l7WJ3RER9xtqwdhxkhw/edit?usp=sharing"",""สระบุรี!I420"")"),0)</f>
        <v>0</v>
      </c>
      <c r="J525" s="284">
        <f ca="1">IFERROR(__xludf.DUMMYFUNCTION("IMPORTRANGE(""https://docs.google.com/spreadsheets/d/1SX6NBoVAgQJ6U1MVXOaj8PK2l7WJ3RER9xtqwdhxkhw/edit?usp=sharing"",""สระบุรี!J420"")"),0)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IFERROR(__xludf.DUMMYFUNCTION("IMPORTRANGE(""https://docs.google.com/spreadsheets/d/1SX6NBoVAgQJ6U1MVXOaj8PK2l7WJ3RER9xtqwdhxkhw/edit?usp=sharing"",""สระบุรี!I421"")"),0)</f>
        <v>0</v>
      </c>
      <c r="J526" s="284">
        <f ca="1">IFERROR(__xludf.DUMMYFUNCTION("IMPORTRANGE(""https://docs.google.com/spreadsheets/d/1SX6NBoVAgQJ6U1MVXOaj8PK2l7WJ3RER9xtqwdhxkhw/edit?usp=sharing"",""สระบุรี!J421"")"),0)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IFERROR(__xludf.DUMMYFUNCTION("IMPORTRANGE(""https://docs.google.com/spreadsheets/d/1SX6NBoVAgQJ6U1MVXOaj8PK2l7WJ3RER9xtqwdhxkhw/edit?usp=sharing"",""สระบุรี!M428"")"),19810)</f>
        <v>19810</v>
      </c>
      <c r="O533" s="412">
        <f t="shared" ref="O533:O537" ca="1" si="118">+IF(L533&gt;0,N533*100/L533,0)</f>
        <v>56.294401818698496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IFERROR(__xludf.DUMMYFUNCTION("IMPORTRANGE(""https://docs.google.com/spreadsheets/d/1SX6NBoVAgQJ6U1MVXOaj8PK2l7WJ3RER9xtqwdhxkhw/edit?usp=sharing"",""สระบุรี!L430"")"),35190)</f>
        <v>35190</v>
      </c>
      <c r="M535" s="165"/>
      <c r="N535" s="169">
        <f ca="1">IFERROR(__xludf.DUMMYFUNCTION("IMPORTRANGE(""https://docs.google.com/spreadsheets/d/1SX6NBoVAgQJ6U1MVXOaj8PK2l7WJ3RER9xtqwdhxkhw/edit?usp=sharing"",""สระบุรี!M430"")"),19810)</f>
        <v>19810</v>
      </c>
      <c r="O535" s="169">
        <f t="shared" ca="1" si="118"/>
        <v>56.294401818698496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IFERROR(__xludf.DUMMYFUNCTION("IMPORTRANGE(""https://docs.google.com/spreadsheets/d/1SX6NBoVAgQJ6U1MVXOaj8PK2l7WJ3RER9xtqwdhxkhw/edit?usp=sharing"",""สระบุรี!L432"")"),35190)</f>
        <v>35190</v>
      </c>
      <c r="M537" s="169"/>
      <c r="N537" s="169">
        <f ca="1">IFERROR(__xludf.DUMMYFUNCTION("IMPORTRANGE(""https://docs.google.com/spreadsheets/d/1SX6NBoVAgQJ6U1MVXOaj8PK2l7WJ3RER9xtqwdhxkhw/edit?usp=sharing"",""สระบุรี!M432"")"),19810)</f>
        <v>19810</v>
      </c>
      <c r="O537" s="169">
        <f t="shared" ca="1" si="118"/>
        <v>56.294401818698496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IFERROR(__xludf.DUMMYFUNCTION("IMPORTRANGE(""https://docs.google.com/spreadsheets/d/1SX6NBoVAgQJ6U1MVXOaj8PK2l7WJ3RER9xtqwdhxkhw/edit?usp=sharing"",""สระบุรี!M433"")"),10380)</f>
        <v>10380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IFERROR(__xludf.DUMMYFUNCTION("IMPORTRANGE(""https://docs.google.com/spreadsheets/d/1SX6NBoVAgQJ6U1MVXOaj8PK2l7WJ3RER9xtqwdhxkhw/edit?usp=sharing"",""สระบุรี!M436"")"),9430)</f>
        <v>9430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IFERROR(__xludf.DUMMYFUNCTION("IMPORTRANGE(""https://docs.google.com/spreadsheets/d/1SX6NBoVAgQJ6U1MVXOaj8PK2l7WJ3RER9xtqwdhxkhw/edit?usp=sharing"",""สระบุรี!J459"")"),3217)</f>
        <v>3217</v>
      </c>
      <c r="K564" s="372">
        <f ca="1">IF(I564&gt;0,J564*100/I564,0)</f>
        <v>536.16666666666663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IFERROR(__xludf.DUMMYFUNCTION("IMPORTRANGE(""https://docs.google.com/spreadsheets/d/1SX6NBoVAgQJ6U1MVXOaj8PK2l7WJ3RER9xtqwdhxkhw/edit?usp=sharing"",""สระบุรี!M459"")"),46690)</f>
        <v>46690</v>
      </c>
      <c r="O564" s="373">
        <f t="shared" ref="O564:O568" ca="1" si="122">+IF(L564&gt;0,N564*100/L564,0)</f>
        <v>37.149904519414385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IFERROR(__xludf.DUMMYFUNCTION("IMPORTRANGE(""https://docs.google.com/spreadsheets/d/1SX6NBoVAgQJ6U1MVXOaj8PK2l7WJ3RER9xtqwdhxkhw/edit?usp=sharing"",""สระบุรี!M461"")"),46690)</f>
        <v>46690</v>
      </c>
      <c r="O566" s="169">
        <f t="shared" ca="1" si="122"/>
        <v>37.149904519414385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IFERROR(__xludf.DUMMYFUNCTION("IMPORTRANGE(""https://docs.google.com/spreadsheets/d/1SX6NBoVAgQJ6U1MVXOaj8PK2l7WJ3RER9xtqwdhxkhw/edit?usp=sharing"",""สระบุรี!M463"")"),46690)</f>
        <v>46690</v>
      </c>
      <c r="O568" s="169">
        <f t="shared" ca="1" si="122"/>
        <v>37.149904519414385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IFERROR(__xludf.DUMMYFUNCTION("IMPORTRANGE(""https://docs.google.com/spreadsheets/d/1SX6NBoVAgQJ6U1MVXOaj8PK2l7WJ3RER9xtqwdhxkhw/edit?usp=sharing"",""สระบุรี!M466"")"),28974)</f>
        <v>28974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IFERROR(__xludf.DUMMYFUNCTION("IMPORTRANGE(""https://docs.google.com/spreadsheets/d/1SX6NBoVAgQJ6U1MVXOaj8PK2l7WJ3RER9xtqwdhxkhw/edit?usp=sharing"",""สระบุรี!M467"")"),17716)</f>
        <v>17716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IFERROR(__xludf.DUMMYFUNCTION("IMPORTRANGE(""https://docs.google.com/spreadsheets/d/1SX6NBoVAgQJ6U1MVXOaj8PK2l7WJ3RER9xtqwdhxkhw/edit?usp=sharing"",""สระบุรี!J468"")"),3217)</f>
        <v>3217</v>
      </c>
      <c r="K573" s="202">
        <f ca="1">IF(I573&gt;0,J573*100/I573,0)</f>
        <v>536.16666666666663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IFERROR(__xludf.DUMMYFUNCTION("IMPORTRANGE(""https://docs.google.com/spreadsheets/d/1SX6NBoVAgQJ6U1MVXOaj8PK2l7WJ3RER9xtqwdhxkhw/edit?usp=sharing"",""สระบุรี!J472"")"),3217)</f>
        <v>3217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IFERROR(__xludf.DUMMYFUNCTION("IMPORTRANGE(""https://docs.google.com/spreadsheets/d/1SX6NBoVAgQJ6U1MVXOaj8PK2l7WJ3RER9xtqwdhxkhw/edit?usp=sharing"",""สระบุรี!I475"")"),500)</f>
        <v>500</v>
      </c>
      <c r="J580" s="371">
        <f ca="1">IFERROR(__xludf.DUMMYFUNCTION("IMPORTRANGE(""https://docs.google.com/spreadsheets/d/1SX6NBoVAgQJ6U1MVXOaj8PK2l7WJ3RER9xtqwdhxkhw/edit?usp=sharing"",""สระบุรี!J475"")"),0)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IFERROR(__xludf.DUMMYFUNCTION("IMPORTRANGE(""https://docs.google.com/spreadsheets/d/1SX6NBoVAgQJ6U1MVXOaj8PK2l7WJ3RER9xtqwdhxkhw/edit?usp=sharing"",""สระบุรี!M475"")"),233836.68)</f>
        <v>233836.68</v>
      </c>
      <c r="O580" s="373">
        <f t="shared" ref="O580:O584" ca="1" si="124">+IF(L580&gt;0,N580*100/L580,0)</f>
        <v>61.902496360026475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IFERROR(__xludf.DUMMYFUNCTION("IMPORTRANGE(""https://docs.google.com/spreadsheets/d/1SX6NBoVAgQJ6U1MVXOaj8PK2l7WJ3RER9xtqwdhxkhw/edit?usp=sharing"",""สระบุรี!M477"")"),233836.68)</f>
        <v>233836.68</v>
      </c>
      <c r="O582" s="169">
        <f t="shared" ca="1" si="124"/>
        <v>61.902496360026475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IFERROR(__xludf.DUMMYFUNCTION("IMPORTRANGE(""https://docs.google.com/spreadsheets/d/1SX6NBoVAgQJ6U1MVXOaj8PK2l7WJ3RER9xtqwdhxkhw/edit?usp=sharing"",""สระบุรี!M479"")"),233836.68)</f>
        <v>233836.68</v>
      </c>
      <c r="O584" s="169">
        <f t="shared" ca="1" si="124"/>
        <v>61.902496360026475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IFERROR(__xludf.DUMMYFUNCTION("IMPORTRANGE(""https://docs.google.com/spreadsheets/d/1SX6NBoVAgQJ6U1MVXOaj8PK2l7WJ3RER9xtqwdhxkhw/edit?usp=sharing"",""สระบุรี!M482"")"),64902)</f>
        <v>64902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IFERROR(__xludf.DUMMYFUNCTION("IMPORTRANGE(""https://docs.google.com/spreadsheets/d/1SX6NBoVAgQJ6U1MVXOaj8PK2l7WJ3RER9xtqwdhxkhw/edit?usp=sharing"",""สระบุรี!M483"")"),168934.68)</f>
        <v>168934.68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IFERROR(__xludf.DUMMYFUNCTION("IMPORTRANGE(""https://docs.google.com/spreadsheets/d/1SX6NBoVAgQJ6U1MVXOaj8PK2l7WJ3RER9xtqwdhxkhw/edit?usp=sharing"",""สระบุรี!I484"")"),500)</f>
        <v>500</v>
      </c>
      <c r="J589" s="188">
        <f ca="1">IFERROR(__xludf.DUMMYFUNCTION("IMPORTRANGE(""https://docs.google.com/spreadsheets/d/1SX6NBoVAgQJ6U1MVXOaj8PK2l7WJ3RER9xtqwdhxkhw/edit?usp=sharing"",""สระบุรี!J484"")"),26)</f>
        <v>26</v>
      </c>
      <c r="K589" s="163">
        <f t="shared" ref="K589:K596" ca="1" si="125">IF(I589&gt;0,J589*100/I589,0)</f>
        <v>5.2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IFERROR(__xludf.DUMMYFUNCTION("IMPORTRANGE(""https://docs.google.com/spreadsheets/d/1SX6NBoVAgQJ6U1MVXOaj8PK2l7WJ3RER9xtqwdhxkhw/edit?usp=sharing"",""สระบุรี!J485"")"),34.53)</f>
        <v>34.53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IFERROR(__xludf.DUMMYFUNCTION("IMPORTRANGE(""https://docs.google.com/spreadsheets/d/1SX6NBoVAgQJ6U1MVXOaj8PK2l7WJ3RER9xtqwdhxkhw/edit?usp=sharing"",""สระบุรี!I486"")"),500)</f>
        <v>500</v>
      </c>
      <c r="J591" s="188">
        <f ca="1">IFERROR(__xludf.DUMMYFUNCTION("IMPORTRANGE(""https://docs.google.com/spreadsheets/d/1SX6NBoVAgQJ6U1MVXOaj8PK2l7WJ3RER9xtqwdhxkhw/edit?usp=sharing"",""สระบุรี!J486"")"),0)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IFERROR(__xludf.DUMMYFUNCTION("IMPORTRANGE(""https://docs.google.com/spreadsheets/d/1SX6NBoVAgQJ6U1MVXOaj8PK2l7WJ3RER9xtqwdhxkhw/edit?usp=sharing"",""สระบุรี!I488"")"),500)</f>
        <v>500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IFERROR(__xludf.DUMMYFUNCTION("IMPORTRANGE(""https://docs.google.com/spreadsheets/d/1SX6NBoVAgQJ6U1MVXOaj8PK2l7WJ3RER9xtqwdhxkhw/edit?usp=sharing"",""สระบุรี!I490"")"),500)</f>
        <v>500</v>
      </c>
      <c r="J595" s="188">
        <f ca="1">IFERROR(__xludf.DUMMYFUNCTION("IMPORTRANGE(""https://docs.google.com/spreadsheets/d/1SX6NBoVAgQJ6U1MVXOaj8PK2l7WJ3RER9xtqwdhxkhw/edit?usp=sharing"",""สระบุรี!J490"")"),0)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IFERROR(__xludf.DUMMYFUNCTION("IMPORTRANGE(""https://docs.google.com/spreadsheets/d/1SX6NBoVAgQJ6U1MVXOaj8PK2l7WJ3RER9xtqwdhxkhw/edit?usp=sharing"",""สระบุรี!I491"")"),0)</f>
        <v>0</v>
      </c>
      <c r="J596" s="241">
        <f ca="1">IFERROR(__xludf.DUMMYFUNCTION("IMPORTRANGE(""https://docs.google.com/spreadsheets/d/1SX6NBoVAgQJ6U1MVXOaj8PK2l7WJ3RER9xtqwdhxkhw/edit?usp=sharing"",""สระบุรี!J491"")"),0)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7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IFERROR(__xludf.DUMMYFUNCTION("IMPORTRANGE(""https://docs.google.com/spreadsheets/d/1SX6NBoVAgQJ6U1MVXOaj8PK2l7WJ3RER9xtqwdhxkhw/edit?usp=sharing"",""สระบุรี!M492"")"),9880)</f>
        <v>9880</v>
      </c>
      <c r="O597" s="412">
        <f t="shared" ref="O597:O601" ca="1" si="126">+IF(L597&gt;0,N597*100/L597,0)</f>
        <v>217.14285714285714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IFERROR(__xludf.DUMMYFUNCTION("IMPORTRANGE(""https://docs.google.com/spreadsheets/d/1SX6NBoVAgQJ6U1MVXOaj8PK2l7WJ3RER9xtqwdhxkhw/edit?usp=sharing"",""สระบุรี!M494"")"),9880)</f>
        <v>9880</v>
      </c>
      <c r="O599" s="169">
        <f t="shared" ca="1" si="126"/>
        <v>217.14285714285714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IFERROR(__xludf.DUMMYFUNCTION("IMPORTRANGE(""https://docs.google.com/spreadsheets/d/1SX6NBoVAgQJ6U1MVXOaj8PK2l7WJ3RER9xtqwdhxkhw/edit?usp=sharing"",""สระบุรี!M496"")"),9880)</f>
        <v>9880</v>
      </c>
      <c r="O601" s="169">
        <f t="shared" ca="1" si="126"/>
        <v>217.14285714285714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IFERROR(__xludf.DUMMYFUNCTION("IMPORTRANGE(""https://docs.google.com/spreadsheets/d/1SX6NBoVAgQJ6U1MVXOaj8PK2l7WJ3RER9xtqwdhxkhw/edit?usp=sharing"",""สระบุรี!M500"")"),9880)</f>
        <v>9880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1">
        <f ca="1">IFERROR(__xludf.DUMMYFUNCTION("IMPORTRANGE(""https://docs.google.com/spreadsheets/d/1SX6NBoVAgQJ6U1MVXOaj8PK2l7WJ3RER9xtqwdhxkhw/edit?usp=sharing"",""สระบุรี!J523"")"),607028.87)</f>
        <v>607028.87</v>
      </c>
      <c r="K628" s="342">
        <f t="shared" ref="K628:K635" ca="1" si="129">IF(I628&gt;0,J628*100/I628,0)</f>
        <v>24.789953220070963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IFERROR(__xludf.DUMMYFUNCTION("IMPORTRANGE(""https://docs.google.com/spreadsheets/d/1SX6NBoVAgQJ6U1MVXOaj8PK2l7WJ3RER9xtqwdhxkhw/edit?usp=sharing"",""สระบุรี!I524"")"),168)</f>
        <v>168</v>
      </c>
      <c r="J629" s="341">
        <f ca="1">IFERROR(__xludf.DUMMYFUNCTION("IMPORTRANGE(""https://docs.google.com/spreadsheets/d/1SX6NBoVAgQJ6U1MVXOaj8PK2l7WJ3RER9xtqwdhxkhw/edit?usp=sharing"",""สระบุรี!J524"")"),54)</f>
        <v>54</v>
      </c>
      <c r="K629" s="342">
        <f t="shared" ca="1" si="129"/>
        <v>32.142857142857146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1">
        <f ca="1">IFERROR(__xludf.DUMMYFUNCTION("IMPORTRANGE(""https://docs.google.com/spreadsheets/d/1SX6NBoVAgQJ6U1MVXOaj8PK2l7WJ3RER9xtqwdhxkhw/edit?usp=sharing"",""สระบุรี!J525"")"),610081.06)</f>
        <v>610081.06000000006</v>
      </c>
      <c r="K630" s="342">
        <f t="shared" ca="1" si="129"/>
        <v>3.5844889402503894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IFERROR(__xludf.DUMMYFUNCTION("IMPORTRANGE(""https://docs.google.com/spreadsheets/d/1SX6NBoVAgQJ6U1MVXOaj8PK2l7WJ3RER9xtqwdhxkhw/edit?usp=sharing"",""สระบุรี!I526"")"),253)</f>
        <v>253</v>
      </c>
      <c r="J631" s="341">
        <f ca="1">IFERROR(__xludf.DUMMYFUNCTION("IMPORTRANGE(""https://docs.google.com/spreadsheets/d/1SX6NBoVAgQJ6U1MVXOaj8PK2l7WJ3RER9xtqwdhxkhw/edit?usp=sharing"",""สระบุรี!J526"")"),69)</f>
        <v>69</v>
      </c>
      <c r="K631" s="342">
        <f t="shared" ca="1" si="129"/>
        <v>27.272727272727273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1">
        <f ca="1">IFERROR(__xludf.DUMMYFUNCTION("IMPORTRANGE(""https://docs.google.com/spreadsheets/d/1SX6NBoVAgQJ6U1MVXOaj8PK2l7WJ3RER9xtqwdhxkhw/edit?usp=sharing"",""สระบุรี!J527"")"),153583.42)</f>
        <v>153583.42000000001</v>
      </c>
      <c r="K632" s="342">
        <f t="shared" ca="1" si="129"/>
        <v>6.2342381516787713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IFERROR(__xludf.DUMMYFUNCTION("IMPORTRANGE(""https://docs.google.com/spreadsheets/d/1SX6NBoVAgQJ6U1MVXOaj8PK2l7WJ3RER9xtqwdhxkhw/edit?usp=sharing"",""สระบุรี!I528"")"),90)</f>
        <v>90</v>
      </c>
      <c r="J633" s="341">
        <f ca="1">IFERROR(__xludf.DUMMYFUNCTION("IMPORTRANGE(""https://docs.google.com/spreadsheets/d/1SX6NBoVAgQJ6U1MVXOaj8PK2l7WJ3RER9xtqwdhxkhw/edit?usp=sharing"",""สระบุรี!J528"")"),18)</f>
        <v>18</v>
      </c>
      <c r="K633" s="342">
        <f t="shared" ca="1" si="129"/>
        <v>20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IFERROR(__xludf.DUMMYFUNCTION("IMPORTRANGE(""https://docs.google.com/spreadsheets/d/1SX6NBoVAgQJ6U1MVXOaj8PK2l7WJ3RER9xtqwdhxkhw/edit?usp=sharing"",""สระบุรี!I529"")"),5265000)</f>
        <v>5265000</v>
      </c>
      <c r="J634" s="341">
        <f ca="1">IFERROR(__xludf.DUMMYFUNCTION("IMPORTRANGE(""https://docs.google.com/spreadsheets/d/1SX6NBoVAgQJ6U1MVXOaj8PK2l7WJ3RER9xtqwdhxkhw/edit?usp=sharing"",""สระบุรี!J529"")"),650000)</f>
        <v>650000</v>
      </c>
      <c r="K634" s="342">
        <f t="shared" ca="1" si="129"/>
        <v>12.345679012345679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IFERROR(__xludf.DUMMYFUNCTION("IMPORTRANGE(""https://docs.google.com/spreadsheets/d/1SX6NBoVAgQJ6U1MVXOaj8PK2l7WJ3RER9xtqwdhxkhw/edit?usp=sharing"",""สระบุรี!I530"")"),134)</f>
        <v>134</v>
      </c>
      <c r="J635" s="504">
        <f ca="1">IFERROR(__xludf.DUMMYFUNCTION("IMPORTRANGE(""https://docs.google.com/spreadsheets/d/1SX6NBoVAgQJ6U1MVXOaj8PK2l7WJ3RER9xtqwdhxkhw/edit?usp=sharing"",""สระบุรี!J530"")"),13)</f>
        <v>13</v>
      </c>
      <c r="K635" s="486">
        <f t="shared" ca="1" si="129"/>
        <v>9.7014925373134329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9915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9915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9915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IFERROR(__xludf.DUMMYFUNCTION("IMPORTRANGE(""https://docs.google.com/spreadsheets/d/1SX6NBoVAgQJ6U1MVXOaj8PK2l7WJ3RER9xtqwdhxkhw/edit#gid=346597447"",""สระบุรี!J541"")"),0)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IFERROR(__xludf.DUMMYFUNCTION("IMPORTRANGE(""https://docs.google.com/spreadsheets/d/1SX6NBoVAgQJ6U1MVXOaj8PK2l7WJ3RER9xtqwdhxkhw/edit#gid=346597447"",""สระบุรี!J542"")"),0)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IFERROR(__xludf.DUMMYFUNCTION("IMPORTRANGE(""https://docs.google.com/spreadsheets/d/1SX6NBoVAgQJ6U1MVXOaj8PK2l7WJ3RER9xtqwdhxkhw/edit#gid=346597447"",""สระบุรี!I543"")"),0)</f>
        <v>0</v>
      </c>
      <c r="J648" s="536">
        <f ca="1">IFERROR(__xludf.DUMMYFUNCTION("IMPORTRANGE(""https://docs.google.com/spreadsheets/d/1SX6NBoVAgQJ6U1MVXOaj8PK2l7WJ3RER9xtqwdhxkhw/edit#gid=346597447"",""สระบุรี!J543"")"),0)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IFERROR(__xludf.DUMMYFUNCTION("IMPORTRANGE(""https://docs.google.com/spreadsheets/d/1SX6NBoVAgQJ6U1MVXOaj8PK2l7WJ3RER9xtqwdhxkhw/edit#gid=346597447"",""สระบุรี!L543"")"),0)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IFERROR(__xludf.DUMMYFUNCTION("IMPORTRANGE(""https://docs.google.com/spreadsheets/d/1SX6NBoVAgQJ6U1MVXOaj8PK2l7WJ3RER9xtqwdhxkhw/edit#gid=346597447"",""สระบุรี!M543"")"),0)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IFERROR(__xludf.DUMMYFUNCTION("IMPORTRANGE(""https://docs.google.com/spreadsheets/d/1SX6NBoVAgQJ6U1MVXOaj8PK2l7WJ3RER9xtqwdhxkhw/edit#gid=346597447"",""สระบุรี!I544"")"),0)</f>
        <v>0</v>
      </c>
      <c r="J649" s="536">
        <f ca="1">IFERROR(__xludf.DUMMYFUNCTION("IMPORTRANGE(""https://docs.google.com/spreadsheets/d/1SX6NBoVAgQJ6U1MVXOaj8PK2l7WJ3RER9xtqwdhxkhw/edit#gid=346597447"",""สระบุรี!J544"")"),0)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IFERROR(__xludf.DUMMYFUNCTION("IMPORTRANGE(""https://docs.google.com/spreadsheets/d/1SX6NBoVAgQJ6U1MVXOaj8PK2l7WJ3RER9xtqwdhxkhw/edit#gid=346597447"",""สระบุรี!L544"")"),0)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IFERROR(__xludf.DUMMYFUNCTION("IMPORTRANGE(""https://docs.google.com/spreadsheets/d/1SX6NBoVAgQJ6U1MVXOaj8PK2l7WJ3RER9xtqwdhxkhw/edit#gid=346597447"",""สระบุรี!M544"")"),0)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IFERROR(__xludf.DUMMYFUNCTION("IMPORTRANGE(""https://docs.google.com/spreadsheets/d/1SX6NBoVAgQJ6U1MVXOaj8PK2l7WJ3RER9xtqwdhxkhw/edit#gid=346597447"",""สระบุรี!I545"")"),23)</f>
        <v>23</v>
      </c>
      <c r="J650" s="536">
        <f ca="1">IFERROR(__xludf.DUMMYFUNCTION("IMPORTRANGE(""https://docs.google.com/spreadsheets/d/1SX6NBoVAgQJ6U1MVXOaj8PK2l7WJ3RER9xtqwdhxkhw/edit#gid=346597447"",""สระบุรี!J545"")"),0)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IFERROR(__xludf.DUMMYFUNCTION("IMPORTRANGE(""https://docs.google.com/spreadsheets/d/1SX6NBoVAgQJ6U1MVXOaj8PK2l7WJ3RER9xtqwdhxkhw/edit#gid=346597447"",""สระบุรี!L545"")"),115)</f>
        <v>115</v>
      </c>
      <c r="M650" s="521"/>
      <c r="N650" s="538">
        <f ca="1">IFERROR(__xludf.DUMMYFUNCTION("IMPORTRANGE(""https://docs.google.com/spreadsheets/d/1SX6NBoVAgQJ6U1MVXOaj8PK2l7WJ3RER9xtqwdhxkhw/edit#gid=346597447"",""สระบุรี!M545"")"),0)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IFERROR(__xludf.DUMMYFUNCTION("IMPORTRANGE(""https://docs.google.com/spreadsheets/d/1SX6NBoVAgQJ6U1MVXOaj8PK2l7WJ3RER9xtqwdhxkhw/edit#gid=346597447"",""สระบุรี!I546"")"),0)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IFERROR(__xludf.DUMMYFUNCTION("IMPORTRANGE(""https://docs.google.com/spreadsheets/d/1SX6NBoVAgQJ6U1MVXOaj8PK2l7WJ3RER9xtqwdhxkhw/edit#gid=346597447"",""สระบุรี!L546"")"),0)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IFERROR(__xludf.DUMMYFUNCTION("IMPORTRANGE(""https://docs.google.com/spreadsheets/d/1SX6NBoVAgQJ6U1MVXOaj8PK2l7WJ3RER9xtqwdhxkhw/edit#gid=346597447"",""สระบุรี!M546"")"),0)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IFERROR(__xludf.DUMMYFUNCTION("IMPORTRANGE(""https://docs.google.com/spreadsheets/d/1SX6NBoVAgQJ6U1MVXOaj8PK2l7WJ3RER9xtqwdhxkhw/edit#gid=346597447"",""สระบุรี!J547"")"),0)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IFERROR(__xludf.DUMMYFUNCTION("IMPORTRANGE(""https://docs.google.com/spreadsheets/d/1SX6NBoVAgQJ6U1MVXOaj8PK2l7WJ3RER9xtqwdhxkhw/edit#gid=346597447"",""สระบุรี!J548"")"),0)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IFERROR(__xludf.DUMMYFUNCTION("IMPORTRANGE(""https://docs.google.com/spreadsheets/d/1SX6NBoVAgQJ6U1MVXOaj8PK2l7WJ3RER9xtqwdhxkhw/edit#gid=346597447"",""สระบุรี!J550"")"),0)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IFERROR(__xludf.DUMMYFUNCTION("IMPORTRANGE(""https://docs.google.com/spreadsheets/d/1SX6NBoVAgQJ6U1MVXOaj8PK2l7WJ3RER9xtqwdhxkhw/edit#gid=346597447"",""สระบุรี!J551"")"),0)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IFERROR(__xludf.DUMMYFUNCTION("IMPORTRANGE(""https://docs.google.com/spreadsheets/d/1SX6NBoVAgQJ6U1MVXOaj8PK2l7WJ3RER9xtqwdhxkhw/edit#gid=346597447"",""สระบุรี!J552"")"),0)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IFERROR(__xludf.DUMMYFUNCTION("IMPORTRANGE(""https://docs.google.com/spreadsheets/d/1SX6NBoVAgQJ6U1MVXOaj8PK2l7WJ3RER9xtqwdhxkhw/edit#gid=346597447"",""สระบุรี!J553"")"),0)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IFERROR(__xludf.DUMMYFUNCTION("IMPORTRANGE(""https://docs.google.com/spreadsheets/d/1SX6NBoVAgQJ6U1MVXOaj8PK2l7WJ3RER9xtqwdhxkhw/edit#gid=346597447"",""สระบุรี!J554"")"),0)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IFERROR(__xludf.DUMMYFUNCTION("IMPORTRANGE(""https://docs.google.com/spreadsheets/d/1SX6NBoVAgQJ6U1MVXOaj8PK2l7WJ3RER9xtqwdhxkhw/edit#gid=346597447"",""สระบุรี!J555"")"),0)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IFERROR(__xludf.DUMMYFUNCTION("IMPORTRANGE(""https://docs.google.com/spreadsheets/d/1SX6NBoVAgQJ6U1MVXOaj8PK2l7WJ3RER9xtqwdhxkhw/edit#gid=346597447"",""สระบุรี!J556"")"),0)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IFERROR(__xludf.DUMMYFUNCTION("IMPORTRANGE(""https://docs.google.com/spreadsheets/d/1SX6NBoVAgQJ6U1MVXOaj8PK2l7WJ3RER9xtqwdhxkhw/edit#gid=346597447"",""สระบุรี!L556"")"),8000)</f>
        <v>8000</v>
      </c>
      <c r="M661" s="521"/>
      <c r="N661" s="538">
        <f ca="1">IFERROR(__xludf.DUMMYFUNCTION("IMPORTRANGE(""https://docs.google.com/spreadsheets/d/1SX6NBoVAgQJ6U1MVXOaj8PK2l7WJ3RER9xtqwdhxkhw/edit#gid=346597447"",""สระบุรี!M556"")"),0)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IFERROR(__xludf.DUMMYFUNCTION("IMPORTRANGE(""https://docs.google.com/spreadsheets/d/1SX6NBoVAgQJ6U1MVXOaj8PK2l7WJ3RER9xtqwdhxkhw/edit#gid=346597447"",""สระบุรี!J557"")"),0)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IFERROR(__xludf.DUMMYFUNCTION("IMPORTRANGE(""https://docs.google.com/spreadsheets/d/1SX6NBoVAgQJ6U1MVXOaj8PK2l7WJ3RER9xtqwdhxkhw/edit#gid=346597447"",""สระบุรี!I558"")"),200)</f>
        <v>200</v>
      </c>
      <c r="J663" s="536">
        <f ca="1">IFERROR(__xludf.DUMMYFUNCTION("IMPORTRANGE(""https://docs.google.com/spreadsheets/d/1SX6NBoVAgQJ6U1MVXOaj8PK2l7WJ3RER9xtqwdhxkhw/edit#gid=346597447"",""สระบุรี!J558"")"),0)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IFERROR(__xludf.DUMMYFUNCTION("IMPORTRANGE(""https://docs.google.com/spreadsheets/d/1SX6NBoVAgQJ6U1MVXOaj8PK2l7WJ3RER9xtqwdhxkhw/edit#gid=346597447"",""สระบุรี!I560"")"),15)</f>
        <v>15</v>
      </c>
      <c r="J665" s="536">
        <f ca="1">IFERROR(__xludf.DUMMYFUNCTION("IMPORTRANGE(""https://docs.google.com/spreadsheets/d/1SX6NBoVAgQJ6U1MVXOaj8PK2l7WJ3RER9xtqwdhxkhw/edit#gid=346597447"",""สระบุรี!J560"")"),0)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IFERROR(__xludf.DUMMYFUNCTION("IMPORTRANGE(""https://docs.google.com/spreadsheets/d/1SX6NBoVAgQJ6U1MVXOaj8PK2l7WJ3RER9xtqwdhxkhw/edit#gid=346597447"",""สระบุรี!L560"")"),1800)</f>
        <v>1800</v>
      </c>
      <c r="M665" s="521"/>
      <c r="N665" s="538">
        <f ca="1">IFERROR(__xludf.DUMMYFUNCTION("IMPORTRANGE(""https://docs.google.com/spreadsheets/d/1SX6NBoVAgQJ6U1MVXOaj8PK2l7WJ3RER9xtqwdhxkhw/edit#gid=346597447"",""สระบุรี!M560"")"),0)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IFERROR(__xludf.DUMMYFUNCTION("IMPORTRANGE(""https://docs.google.com/spreadsheets/d/1SX6NBoVAgQJ6U1MVXOaj8PK2l7WJ3RER9xtqwdhxkhw/edit#gid=346597447"",""สระบุรี!J561"")"),0)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IFERROR(__xludf.DUMMYFUNCTION("IMPORTRANGE(""https://docs.google.com/spreadsheets/d/1SX6NBoVAgQJ6U1MVXOaj8PK2l7WJ3RER9xtqwdhxkhw/edit#gid=346597447"",""สระบุรี!J562"")"),0)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IFERROR(__xludf.DUMMYFUNCTION("IMPORTRANGE(""https://docs.google.com/spreadsheets/d/1SX6NBoVAgQJ6U1MVXOaj8PK2l7WJ3RER9xtqwdhxkhw/edit#gid=346597447"",""สระบุรี!I563"")"),0)</f>
        <v>0</v>
      </c>
      <c r="J668" s="536">
        <f ca="1">IFERROR(__xludf.DUMMYFUNCTION("IMPORTRANGE(""https://docs.google.com/spreadsheets/d/1SX6NBoVAgQJ6U1MVXOaj8PK2l7WJ3RER9xtqwdhxkhw/edit#gid=346597447"",""สระบุรี!J563"")"),0)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IFERROR(__xludf.DUMMYFUNCTION("IMPORTRANGE(""https://docs.google.com/spreadsheets/d/1SX6NBoVAgQJ6U1MVXOaj8PK2l7WJ3RER9xtqwdhxkhw/edit#gid=346597447"",""สระบุรี!L563"")"),0)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IFERROR(__xludf.DUMMYFUNCTION("IMPORTRANGE(""https://docs.google.com/spreadsheets/d/1SX6NBoVAgQJ6U1MVXOaj8PK2l7WJ3RER9xtqwdhxkhw/edit#gid=346597447"",""สระบุรี!M563"")"),0)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IFERROR(__xludf.DUMMYFUNCTION("IMPORTRANGE(""https://docs.google.com/spreadsheets/d/1SX6NBoVAgQJ6U1MVXOaj8PK2l7WJ3RER9xtqwdhxkhw/edit#gid=346597447"",""สระบุรี!J564"")"),0)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IFERROR(__xludf.DUMMYFUNCTION("IMPORTRANGE(""https://docs.google.com/spreadsheets/d/1SX6NBoVAgQJ6U1MVXOaj8PK2l7WJ3RER9xtqwdhxkhw/edit#gid=346597447"",""สระบุรี!J565"")"),0)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IFERROR(__xludf.DUMMYFUNCTION("IMPORTRANGE(""https://docs.google.com/spreadsheets/d/1SX6NBoVAgQJ6U1MVXOaj8PK2l7WJ3RER9xtqwdhxkhw/edit#gid=346597447"",""สระบุรี!I566"")"),0)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IFERROR(__xludf.DUMMYFUNCTION("IMPORTRANGE(""https://docs.google.com/spreadsheets/d/1SX6NBoVAgQJ6U1MVXOaj8PK2l7WJ3RER9xtqwdhxkhw/edit#gid=346597447"",""สระบุรี!L566"")"),0)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IFERROR(__xludf.DUMMYFUNCTION("IMPORTRANGE(""https://docs.google.com/spreadsheets/d/1SX6NBoVAgQJ6U1MVXOaj8PK2l7WJ3RER9xtqwdhxkhw/edit#gid=346597447"",""สระบุรี!M566"")"),0)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IFERROR(__xludf.DUMMYFUNCTION("IMPORTRANGE(""https://docs.google.com/spreadsheets/d/1SX6NBoVAgQJ6U1MVXOaj8PK2l7WJ3RER9xtqwdhxkhw/edit#gid=346597447"",""สระบุรี!J567"")"),0)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IFERROR(__xludf.DUMMYFUNCTION("IMPORTRANGE(""https://docs.google.com/spreadsheets/d/1SX6NBoVAgQJ6U1MVXOaj8PK2l7WJ3RER9xtqwdhxkhw/edit#gid=346597447"",""สระบุรี!J568"")"),0)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IFERROR(__xludf.DUMMYFUNCTION("IMPORTRANGE(""https://docs.google.com/spreadsheets/d/1SX6NBoVAgQJ6U1MVXOaj8PK2l7WJ3RER9xtqwdhxkhw/edit#gid=346597447"",""สระบุรี!J569"")"),0)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IFERROR(__xludf.DUMMYFUNCTION("IMPORTRANGE(""https://docs.google.com/spreadsheets/d/1SX6NBoVAgQJ6U1MVXOaj8PK2l7WJ3RER9xtqwdhxkhw/edit#gid=346597447"",""สระบุรี!J570"")"),0)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IFERROR(__xludf.DUMMYFUNCTION("IMPORTRANGE(""https://docs.google.com/spreadsheets/d/1SX6NBoVAgQJ6U1MVXOaj8PK2l7WJ3RER9xtqwdhxkhw/edit#gid=346597447"",""สระบุรี!J571"")"),0)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IFERROR(__xludf.DUMMYFUNCTION("IMPORTRANGE(""https://docs.google.com/spreadsheets/d/1SX6NBoVAgQJ6U1MVXOaj8PK2l7WJ3RER9xtqwdhxkhw/edit#gid=346597447"",""สระบุรี!J572"")"),0)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7623448</v>
      </c>
      <c r="M8" s="23">
        <f t="shared" ca="1" si="0"/>
        <v>3568802.94</v>
      </c>
      <c r="N8" s="23">
        <f t="shared" ca="1" si="0"/>
        <v>3553864.08</v>
      </c>
      <c r="O8" s="22">
        <f t="shared" ref="O8:O16" ca="1" si="1">IF(L8&gt;0,N8*100/L8,0)</f>
        <v>46.617542088566751</v>
      </c>
      <c r="P8" s="22">
        <f t="shared" ref="P8:P16" ca="1" si="2">IF(M8&gt;0,N8*100/M8,0)</f>
        <v>99.581404178063138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7623448</v>
      </c>
      <c r="M10" s="30">
        <f t="shared" ca="1" si="4"/>
        <v>3568802.94</v>
      </c>
      <c r="N10" s="30">
        <f t="shared" ca="1" si="4"/>
        <v>3553864.08</v>
      </c>
      <c r="O10" s="29">
        <f t="shared" ca="1" si="1"/>
        <v>46.617542088566751</v>
      </c>
      <c r="P10" s="29">
        <f t="shared" ca="1" si="2"/>
        <v>99.581404178063138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7220148</v>
      </c>
      <c r="M12" s="38">
        <f t="shared" ca="1" si="6"/>
        <v>3165502.94</v>
      </c>
      <c r="N12" s="38">
        <f t="shared" ca="1" si="6"/>
        <v>3150564.08</v>
      </c>
      <c r="O12" s="38">
        <f t="shared" ca="1" si="1"/>
        <v>43.635727134679236</v>
      </c>
      <c r="P12" s="38">
        <f t="shared" ca="1" si="2"/>
        <v>99.528073096656172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4750148</v>
      </c>
      <c r="M14" s="38">
        <f t="shared" si="8"/>
        <v>0</v>
      </c>
      <c r="N14" s="38">
        <f t="shared" ca="1" si="8"/>
        <v>927231.47</v>
      </c>
      <c r="O14" s="38">
        <f t="shared" ca="1" si="1"/>
        <v>19.52005432251795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403300</v>
      </c>
      <c r="M16" s="38">
        <f t="shared" ca="1" si="10"/>
        <v>403300</v>
      </c>
      <c r="N16" s="38">
        <f t="shared" ca="1" si="10"/>
        <v>403300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4389410</v>
      </c>
      <c r="M18" s="23">
        <f t="shared" ca="1" si="11"/>
        <v>3568802.94</v>
      </c>
      <c r="N18" s="23">
        <f t="shared" ca="1" si="11"/>
        <v>2626632.61</v>
      </c>
      <c r="O18" s="22">
        <f t="shared" ref="O18:O20" ca="1" si="12">IF(L18&gt;0,N18*100/L18,0)</f>
        <v>59.840220211828012</v>
      </c>
      <c r="P18" s="22">
        <f t="shared" ref="P18:P26" ca="1" si="13">IF(M18&gt;0,N18*100/M18,0)</f>
        <v>73.599821961590294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4389410</v>
      </c>
      <c r="M20" s="30">
        <f t="shared" ca="1" si="15"/>
        <v>3568802.94</v>
      </c>
      <c r="N20" s="30">
        <f t="shared" ca="1" si="15"/>
        <v>2626632.61</v>
      </c>
      <c r="O20" s="29">
        <f t="shared" ca="1" si="12"/>
        <v>59.840220211828012</v>
      </c>
      <c r="P20" s="29">
        <f t="shared" ca="1" si="13"/>
        <v>73.599821961590294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3165502.94</v>
      </c>
      <c r="N22" s="38">
        <f t="shared" ca="1" si="18"/>
        <v>2223332.61</v>
      </c>
      <c r="O22" s="38">
        <f t="shared" ca="1" si="17"/>
        <v>55.777000885575163</v>
      </c>
      <c r="P22" s="38">
        <f t="shared" ca="1" si="13"/>
        <v>70.23631480184315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403300</v>
      </c>
      <c r="M26" s="49">
        <f t="shared" ca="1" si="22"/>
        <v>403300</v>
      </c>
      <c r="N26" s="49">
        <f t="shared" ca="1" si="22"/>
        <v>403300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3234038</v>
      </c>
      <c r="M28" s="23">
        <f t="shared" si="23"/>
        <v>0</v>
      </c>
      <c r="N28" s="23">
        <f t="shared" ca="1" si="23"/>
        <v>927231.47</v>
      </c>
      <c r="O28" s="22">
        <f t="shared" ref="O28:O30" ca="1" si="24">IF(L28&gt;0,N28*100/L28,0)</f>
        <v>28.671013451295252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3234038</v>
      </c>
      <c r="M30" s="30">
        <f t="shared" si="27"/>
        <v>0</v>
      </c>
      <c r="N30" s="30">
        <f t="shared" ca="1" si="27"/>
        <v>927231.47</v>
      </c>
      <c r="O30" s="29">
        <f t="shared" ca="1" si="24"/>
        <v>28.671013451295252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3234038</v>
      </c>
      <c r="M32" s="38">
        <f t="shared" si="30"/>
        <v>0</v>
      </c>
      <c r="N32" s="38">
        <f t="shared" ca="1" si="30"/>
        <v>927231.47</v>
      </c>
      <c r="O32" s="38">
        <f t="shared" ca="1" si="29"/>
        <v>28.671013451295252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3234038</v>
      </c>
      <c r="M34" s="38">
        <f t="shared" si="32"/>
        <v>0</v>
      </c>
      <c r="N34" s="38">
        <f t="shared" ca="1" si="32"/>
        <v>927231.47</v>
      </c>
      <c r="O34" s="38">
        <f t="shared" ca="1" si="29"/>
        <v>28.671013451295252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4389410</v>
      </c>
      <c r="M37" s="54">
        <f t="shared" ca="1" si="33"/>
        <v>3568802.94</v>
      </c>
      <c r="N37" s="54">
        <f t="shared" ca="1" si="33"/>
        <v>2626632.61</v>
      </c>
      <c r="O37" s="55">
        <f t="shared" ca="1" si="29"/>
        <v>59.840220211828012</v>
      </c>
      <c r="P37" s="55">
        <f t="shared" ca="1" si="25"/>
        <v>73.599821961590294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1085100</v>
      </c>
      <c r="M41" s="78">
        <f t="shared" ca="1" si="34"/>
        <v>877900</v>
      </c>
      <c r="N41" s="78">
        <f t="shared" ca="1" si="34"/>
        <v>668341.4</v>
      </c>
      <c r="O41" s="77">
        <f t="shared" ref="O41:O43" ca="1" si="35">IF(L41&gt;0,N41*100/L41,0)</f>
        <v>61.592608976131231</v>
      </c>
      <c r="P41" s="77">
        <f t="shared" ref="P41:P43" ca="1" si="36">IF(M41&gt;0,N41*100/M41,0)</f>
        <v>76.129559175304706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1085100</v>
      </c>
      <c r="M43" s="78">
        <f t="shared" ca="1" si="38"/>
        <v>877900</v>
      </c>
      <c r="N43" s="78">
        <f t="shared" ca="1" si="38"/>
        <v>668341.4</v>
      </c>
      <c r="O43" s="77">
        <f t="shared" ca="1" si="35"/>
        <v>61.592608976131231</v>
      </c>
      <c r="P43" s="77">
        <f t="shared" ca="1" si="36"/>
        <v>76.129559175304706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IFERROR(__xludf.DUMMYFUNCTION("IMPORTRANGE(""https://docs.google.com/spreadsheets/d/1Yj_ptqi66GCucihVvJfMjLAmec39IyEx_6qawtMGysU/edit?usp=sharing"",""สบก!Q59"")"),781900)</f>
        <v>781900</v>
      </c>
      <c r="N45" s="49">
        <f ca="1">IFERROR(__xludf.DUMMYFUNCTION("IMPORTRANGE(""https://docs.google.com/spreadsheets/d/1Yj_ptqi66GCucihVvJfMjLAmec39IyEx_6qawtMGysU/edit?usp=sharing"",""สบก!R59"")"),572341.4)</f>
        <v>572341.4</v>
      </c>
      <c r="O45" s="38">
        <f ca="1">IF(L45&gt;0,N45*100/L45,0)</f>
        <v>57.864867050854315</v>
      </c>
      <c r="P45" s="38">
        <f ca="1">IF(M45&gt;0,N45*100/M45,0)</f>
        <v>73.19879780023021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IFERROR(__xludf.DUMMYFUNCTION("IMPORTRANGE(""https://docs.google.com/spreadsheets/d/1Yj_ptqi66GCucihVvJfMjLAmec39IyEx_6qawtMGysU/edit?usp=sharing"",""สบก!O59"")"),96000)</f>
        <v>96000</v>
      </c>
      <c r="M49" s="49">
        <f ca="1">L49</f>
        <v>96000</v>
      </c>
      <c r="N49" s="49">
        <f ca="1">IFERROR(__xludf.DUMMYFUNCTION("IMPORTRANGE(""https://docs.google.com/spreadsheets/d/1Yj_ptqi66GCucihVvJfMjLAmec39IyEx_6qawtMGysU/edit?usp=sharing"",""สบก!S59"")"),96000)</f>
        <v>96000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393942.94</v>
      </c>
      <c r="N53" s="121">
        <f t="shared" ca="1" si="39"/>
        <v>367700</v>
      </c>
      <c r="O53" s="120">
        <f t="shared" ref="O53:O55" ca="1" si="40">IF(L53&gt;0,N53*100/L53,0)</f>
        <v>75.503080082135526</v>
      </c>
      <c r="P53" s="120">
        <f t="shared" ref="P53:P55" ca="1" si="41">IF(M53&gt;0,N53*100/M53,0)</f>
        <v>93.33839058011803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393942.94</v>
      </c>
      <c r="N55" s="121">
        <f t="shared" ca="1" si="43"/>
        <v>367700</v>
      </c>
      <c r="O55" s="120">
        <f t="shared" ca="1" si="40"/>
        <v>75.503080082135526</v>
      </c>
      <c r="P55" s="120">
        <f t="shared" ca="1" si="41"/>
        <v>93.33839058011803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IFERROR(__xludf.DUMMYFUNCTION("IMPORTRANGE(""https://docs.google.com/spreadsheets/d/1Yj_ptqi66GCucihVvJfMjLAmec39IyEx_6qawtMGysU/edit?usp=sharing"",""สบก!Z59"")"),393942.94)</f>
        <v>393942.94</v>
      </c>
      <c r="N57" s="49">
        <f ca="1">IFERROR(__xludf.DUMMYFUNCTION("IMPORTRANGE(""https://docs.google.com/spreadsheets/d/1Yj_ptqi66GCucihVvJfMjLAmec39IyEx_6qawtMGysU/edit?usp=sharing"",""สบก!AA59"")"),367700)</f>
        <v>367700</v>
      </c>
      <c r="O57" s="38">
        <f ca="1">IF(L57&gt;0,N57*100/L57,0)</f>
        <v>75.503080082135526</v>
      </c>
      <c r="P57" s="38">
        <f ca="1">IF(M57&gt;0,N57*100/M57,0)</f>
        <v>93.33839058011803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188152</v>
      </c>
      <c r="O94" s="151">
        <f t="shared" ref="O94:O96" ca="1" si="53">IF(L94&gt;0,N94*100/L94,0)</f>
        <v>58.989214948582891</v>
      </c>
      <c r="P94" s="151">
        <f t="shared" ref="P94:P96" ca="1" si="54">IF(M94&gt;0,N94*100/M94,0)</f>
        <v>62.944984360102367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318960</v>
      </c>
      <c r="M96" s="157">
        <f t="shared" ca="1" si="56"/>
        <v>298915</v>
      </c>
      <c r="N96" s="157">
        <f t="shared" ca="1" si="56"/>
        <v>188152</v>
      </c>
      <c r="O96" s="156">
        <f t="shared" ca="1" si="53"/>
        <v>58.989214948582891</v>
      </c>
      <c r="P96" s="156">
        <f t="shared" ca="1" si="54"/>
        <v>62.944984360102367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134160</v>
      </c>
      <c r="M98" s="168">
        <f ca="1">IFERROR(__xludf.DUMMYFUNCTION("IMPORTRANGE(""https://docs.google.com/spreadsheets/d/1Yj_ptqi66GCucihVvJfMjLAmec39IyEx_6qawtMGysU/edit?usp=sharing"",""สบก!AR59"")"),114115)</f>
        <v>114115</v>
      </c>
      <c r="N98" s="169">
        <f ca="1">IFERROR(__xludf.DUMMYFUNCTION("IMPORTRANGE(""https://docs.google.com/spreadsheets/d/1Yj_ptqi66GCucihVvJfMjLAmec39IyEx_6qawtMGysU/edit?usp=sharing"",""สบก!AS59"")"),3352)</f>
        <v>3352</v>
      </c>
      <c r="O98" s="169">
        <f ca="1">IF(L98&gt;0,N98*100/L98,0)</f>
        <v>2.4985092426952891</v>
      </c>
      <c r="P98" s="169">
        <f ca="1">IF(M98&gt;0,N98*100/M98,0)</f>
        <v>2.9373877229110983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IFERROR(__xludf.DUMMYFUNCTION("IMPORTRANGE(""https://docs.google.com/spreadsheets/d/1Yj_ptqi66GCucihVvJfMjLAmec39IyEx_6qawtMGysU/edit?usp=sharing"",""สบก!AO59"")"),134160)</f>
        <v>134160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IFERROR(__xludf.DUMMYFUNCTION("IMPORTRANGE(""https://docs.google.com/spreadsheets/d/1SX6NBoVAgQJ6U1MVXOaj8PK2l7WJ3RER9xtqwdhxkhw/edit?usp=sharing"",""กาญจนบุรี!J48"")"),2)</f>
        <v>2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IFERROR(__xludf.DUMMYFUNCTION("IMPORTRANGE(""https://docs.google.com/spreadsheets/d/1SX6NBoVAgQJ6U1MVXOaj8PK2l7WJ3RER9xtqwdhxkhw/edit?usp=sharing"",""กาญจนบุรี!J50"")"),0)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41600</v>
      </c>
      <c r="O118" s="151">
        <f t="shared" ref="O118:O120" ca="1" si="59">IF(L118&gt;0,N118*100/L118,0)</f>
        <v>50.460941290635617</v>
      </c>
      <c r="P118" s="151">
        <f t="shared" ref="P118:P120" ca="1" si="60">IF(M118&gt;0,N118*100/M118,0)</f>
        <v>50.460941290635617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41600</v>
      </c>
      <c r="O120" s="156">
        <f t="shared" ca="1" si="59"/>
        <v>50.460941290635617</v>
      </c>
      <c r="P120" s="156">
        <f t="shared" ca="1" si="60"/>
        <v>50.460941290635617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IFERROR(__xludf.DUMMYFUNCTION("IMPORTRANGE(""https://docs.google.com/spreadsheets/d/1Yj_ptqi66GCucihVvJfMjLAmec39IyEx_6qawtMGysU/edit?usp=sharing"",""สบก!BA59"")"),82440)</f>
        <v>82440</v>
      </c>
      <c r="N122" s="169">
        <f ca="1">IFERROR(__xludf.DUMMYFUNCTION("IMPORTRANGE(""https://docs.google.com/spreadsheets/d/1Yj_ptqi66GCucihVvJfMjLAmec39IyEx_6qawtMGysU/edit?usp=sharing"",""สบก!BB59"")"),41600)</f>
        <v>41600</v>
      </c>
      <c r="O122" s="169">
        <f ca="1">IF(L122&gt;0,N122*100/L122,0)</f>
        <v>50.460941290635617</v>
      </c>
      <c r="P122" s="169">
        <f ca="1">IF(M122&gt;0,N122*100/M122,0)</f>
        <v>50.460941290635617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IFERROR(__xludf.DUMMYFUNCTION("IMPORTRANGE(""https://docs.google.com/spreadsheets/d/1Yj_ptqi66GCucihVvJfMjLAmec39IyEx_6qawtMGysU/edit?usp=sharing"",""สบก!AX59"")"),82440)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IFERROR(__xludf.DUMMYFUNCTION("IMPORTRANGE(""https://docs.google.com/spreadsheets/d/1SX6NBoVAgQJ6U1MVXOaj8PK2l7WJ3RER9xtqwdhxkhw/edit?usp=sharing"",""กาญจนบุรี!J65"")"),0)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IFERROR(__xludf.DUMMYFUNCTION("IMPORTRANGE(""https://docs.google.com/spreadsheets/d/1SX6NBoVAgQJ6U1MVXOaj8PK2l7WJ3RER9xtqwdhxkhw/edit?usp=sharing"",""กาญจนบุรี!I68"")"),30)</f>
        <v>30</v>
      </c>
      <c r="J138" s="267">
        <f ca="1">IFERROR(__xludf.DUMMYFUNCTION("IMPORTRANGE(""https://docs.google.com/spreadsheets/d/1SX6NBoVAgQJ6U1MVXOaj8PK2l7WJ3RER9xtqwdhxkhw/edit?usp=sharing"",""กาญจนบุรี!J68"")"),30)</f>
        <v>30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647600</v>
      </c>
      <c r="M140" s="152">
        <f t="shared" ca="1" si="64"/>
        <v>528725</v>
      </c>
      <c r="N140" s="152">
        <f t="shared" ca="1" si="64"/>
        <v>404515.83</v>
      </c>
      <c r="O140" s="151">
        <f t="shared" ref="O140:O142" ca="1" si="65">IF(L140&gt;0,N140*100/L140,0)</f>
        <v>62.463840333539224</v>
      </c>
      <c r="P140" s="151">
        <f t="shared" ref="P140:P142" ca="1" si="66">IF(M140&gt;0,N140*100/M140,0)</f>
        <v>76.507793276277837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647600</v>
      </c>
      <c r="M142" s="157">
        <f t="shared" ca="1" si="68"/>
        <v>528725</v>
      </c>
      <c r="N142" s="157">
        <f t="shared" ca="1" si="68"/>
        <v>404515.83</v>
      </c>
      <c r="O142" s="156">
        <f t="shared" ca="1" si="65"/>
        <v>62.463840333539224</v>
      </c>
      <c r="P142" s="156">
        <f t="shared" ca="1" si="66"/>
        <v>76.507793276277837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647600</v>
      </c>
      <c r="M144" s="168">
        <f ca="1">IFERROR(__xludf.DUMMYFUNCTION("IMPORTRANGE(""https://docs.google.com/spreadsheets/d/1Yj_ptqi66GCucihVvJfMjLAmec39IyEx_6qawtMGysU/edit?usp=sharing"",""สบก!BJ59"")"),528725)</f>
        <v>528725</v>
      </c>
      <c r="N144" s="169">
        <f ca="1">IFERROR(__xludf.DUMMYFUNCTION("IMPORTRANGE(""https://docs.google.com/spreadsheets/d/1Yj_ptqi66GCucihVvJfMjLAmec39IyEx_6qawtMGysU/edit?usp=sharing"",""สบก!BK59"")"),404515.83)</f>
        <v>404515.83</v>
      </c>
      <c r="O144" s="169">
        <f ca="1">IF(L144&gt;0,N144*100/L144,0)</f>
        <v>62.463840333539224</v>
      </c>
      <c r="P144" s="169">
        <f ca="1">IF(M144&gt;0,N144*100/M144,0)</f>
        <v>76.507793276277837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IFERROR(__xludf.DUMMYFUNCTION("IMPORTRANGE(""https://docs.google.com/spreadsheets/d/1Yj_ptqi66GCucihVvJfMjLAmec39IyEx_6qawtMGysU/edit?usp=sharing"",""สบก!BG59"")"),282900)</f>
        <v>282900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IFERROR(__xludf.DUMMYFUNCTION("IMPORTRANGE(""https://docs.google.com/spreadsheets/d/1SX6NBoVAgQJ6U1MVXOaj8PK2l7WJ3RER9xtqwdhxkhw/edit?usp=sharing"",""กาญจนบุรี!I74"")"),4)</f>
        <v>4</v>
      </c>
      <c r="J149" s="275">
        <f ca="1">IFERROR(__xludf.DUMMYFUNCTION("IMPORTRANGE(""https://docs.google.com/spreadsheets/d/1SX6NBoVAgQJ6U1MVXOaj8PK2l7WJ3RER9xtqwdhxkhw/edit?usp=sharing"",""กาญจนบุรี!J74"")"),2)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IFERROR(__xludf.DUMMYFUNCTION("IMPORTRANGE(""https://docs.google.com/spreadsheets/d/1SX6NBoVAgQJ6U1MVXOaj8PK2l7WJ3RER9xtqwdhxkhw/edit?usp=sharing"",""กาญจนบุรี!J85"")"),40)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IFERROR(__xludf.DUMMYFUNCTION("IMPORTRANGE(""https://docs.google.com/spreadsheets/d/1SX6NBoVAgQJ6U1MVXOaj8PK2l7WJ3RER9xtqwdhxkhw/edit?usp=sharing"",""กาญจนบุรี!I89"")"),4)</f>
        <v>4</v>
      </c>
      <c r="J164" s="284">
        <f ca="1">IFERROR(__xludf.DUMMYFUNCTION("IMPORTRANGE(""https://docs.google.com/spreadsheets/d/1SX6NBoVAgQJ6U1MVXOaj8PK2l7WJ3RER9xtqwdhxkhw/edit?usp=sharing"",""กาญจนบุรี!J89"")"),4)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IFERROR(__xludf.DUMMYFUNCTION("IMPORTRANGE(""https://docs.google.com/spreadsheets/d/1SX6NBoVAgQJ6U1MVXOaj8PK2l7WJ3RER9xtqwdhxkhw/edit?usp=sharing"",""กาญจนบุรี!I101"")"),6)</f>
        <v>6</v>
      </c>
      <c r="J176" s="284">
        <f ca="1">IFERROR(__xludf.DUMMYFUNCTION("IMPORTRANGE(""https://docs.google.com/spreadsheets/d/1SX6NBoVAgQJ6U1MVXOaj8PK2l7WJ3RER9xtqwdhxkhw/edit?usp=sharing"",""กาญจนบุรี!J101"")"),6)</f>
        <v>6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IFERROR(__xludf.DUMMYFUNCTION("IMPORTRANGE(""https://docs.google.com/spreadsheets/d/1SX6NBoVAgQJ6U1MVXOaj8PK2l7WJ3RER9xtqwdhxkhw/edit?usp=sharing"",""กาญจนบุรี!J113"")"),0)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IFERROR(__xludf.DUMMYFUNCTION("IMPORTRANGE(""https://docs.google.com/spreadsheets/d/1SX6NBoVAgQJ6U1MVXOaj8PK2l7WJ3RER9xtqwdhxkhw/edit?usp=sharing"",""กาญจนบุรี!I114"")"),20000)</f>
        <v>20000</v>
      </c>
      <c r="J189" s="284">
        <f ca="1">IFERROR(__xludf.DUMMYFUNCTION("IMPORTRANGE(""https://docs.google.com/spreadsheets/d/1SX6NBoVAgQJ6U1MVXOaj8PK2l7WJ3RER9xtqwdhxkhw/edit?usp=sharing"",""กาญจนบุรี!J114"")"),0)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IFERROR(__xludf.DUMMYFUNCTION("IMPORTRANGE(""https://docs.google.com/spreadsheets/d/1SX6NBoVAgQJ6U1MVXOaj8PK2l7WJ3RER9xtqwdhxkhw/edit?usp=sharing"",""กาญจนบุรี!J128"")"),0)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IFERROR(__xludf.DUMMYFUNCTION("IMPORTRANGE(""https://docs.google.com/spreadsheets/d/1SX6NBoVAgQJ6U1MVXOaj8PK2l7WJ3RER9xtqwdhxkhw/edit?usp=sharing"",""กาญจนบุรี!I129"")"),30)</f>
        <v>30</v>
      </c>
      <c r="J204" s="284">
        <f ca="1">IFERROR(__xludf.DUMMYFUNCTION("IMPORTRANGE(""https://docs.google.com/spreadsheets/d/1SX6NBoVAgQJ6U1MVXOaj8PK2l7WJ3RER9xtqwdhxkhw/edit?usp=sharing"",""กาญจนบุรี!J129"")"),30)</f>
        <v>30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IFERROR(__xludf.DUMMYFUNCTION("IMPORTRANGE(""https://docs.google.com/spreadsheets/d/1SX6NBoVAgQJ6U1MVXOaj8PK2l7WJ3RER9xtqwdhxkhw/edit?usp=sharing"",""กาญจนบุรี!J143"")"),0)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IFERROR(__xludf.DUMMYFUNCTION("IMPORTRANGE(""https://docs.google.com/spreadsheets/d/1SX6NBoVAgQJ6U1MVXOaj8PK2l7WJ3RER9xtqwdhxkhw/edit?usp=sharing"",""กาญจนบุรี!I144"")"),14)</f>
        <v>14</v>
      </c>
      <c r="J219" s="267">
        <f ca="1">IFERROR(__xludf.DUMMYFUNCTION("IMPORTRANGE(""https://docs.google.com/spreadsheets/d/1SX6NBoVAgQJ6U1MVXOaj8PK2l7WJ3RER9xtqwdhxkhw/edit?usp=sharing"",""กาญจนบุรี!J144"")"),14)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IFERROR(__xludf.DUMMYFUNCTION("IMPORTRANGE(""https://docs.google.com/spreadsheets/d/1SX6NBoVAgQJ6U1MVXOaj8PK2l7WJ3RER9xtqwdhxkhw/edit?usp=sharing"",""กาญจนบุรี!I149"")"),14)</f>
        <v>14</v>
      </c>
      <c r="J229" s="267">
        <f ca="1">IFERROR(__xludf.DUMMYFUNCTION("IMPORTRANGE(""https://docs.google.com/spreadsheets/d/1SX6NBoVAgQJ6U1MVXOaj8PK2l7WJ3RER9xtqwdhxkhw/edit?usp=sharing"",""กาญจนบุรี!J149"")"),14)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IFERROR(__xludf.DUMMYFUNCTION("IMPORTRANGE(""https://docs.google.com/spreadsheets/d/1SX6NBoVAgQJ6U1MVXOaj8PK2l7WJ3RER9xtqwdhxkhw/edit?usp=sharing"",""กาญจนบุรี!J157"")"),0)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IFERROR(__xludf.DUMMYFUNCTION("IMPORTRANGE(""https://docs.google.com/spreadsheets/d/1SX6NBoVAgQJ6U1MVXOaj8PK2l7WJ3RER9xtqwdhxkhw/edit?usp=sharing"",""กาญจนบุรี!I158"")"),0)</f>
        <v>0</v>
      </c>
      <c r="J238" s="267">
        <f ca="1">IFERROR(__xludf.DUMMYFUNCTION("IMPORTRANGE(""https://docs.google.com/spreadsheets/d/1SX6NBoVAgQJ6U1MVXOaj8PK2l7WJ3RER9xtqwdhxkhw/edit?usp=sharing"",""กาญจนบุรี!J158"")"),0)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IFERROR(__xludf.DUMMYFUNCTION("IMPORTRANGE(""https://docs.google.com/spreadsheets/d/1SX6NBoVAgQJ6U1MVXOaj8PK2l7WJ3RER9xtqwdhxkhw/edit?usp=sharing"",""กาญจนบุรี!J166"")"),0)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IFERROR(__xludf.DUMMYFUNCTION("IMPORTRANGE(""https://docs.google.com/spreadsheets/d/1SX6NBoVAgQJ6U1MVXOaj8PK2l7WJ3RER9xtqwdhxkhw/edit?usp=sharing"",""กาญจนบุรี!I169"")"),20)</f>
        <v>20</v>
      </c>
      <c r="J249" s="316">
        <f ca="1">IFERROR(__xludf.DUMMYFUNCTION("IMPORTRANGE(""https://docs.google.com/spreadsheets/d/1SX6NBoVAgQJ6U1MVXOaj8PK2l7WJ3RER9xtqwdhxkhw/edit?usp=sharing"",""กาญจนบุรี!J169"")"),20)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33500</v>
      </c>
      <c r="O250" s="151">
        <f t="shared" ref="O250:O252" ca="1" si="78">IF(L250&gt;0,N250*100/L250,0)</f>
        <v>46.918767507002798</v>
      </c>
      <c r="P250" s="151">
        <f t="shared" ref="P250:P252" ca="1" si="79">IF(M250&gt;0,N250*100/M250,0)</f>
        <v>79.761904761904759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33500</v>
      </c>
      <c r="O252" s="156">
        <f t="shared" ca="1" si="78"/>
        <v>46.918767507002798</v>
      </c>
      <c r="P252" s="156">
        <f t="shared" ca="1" si="79"/>
        <v>79.761904761904759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IFERROR(__xludf.DUMMYFUNCTION("IMPORTRANGE(""https://docs.google.com/spreadsheets/d/1Yj_ptqi66GCucihVvJfMjLAmec39IyEx_6qawtMGysU/edit?usp=sharing"",""สบก!CB59"")"),42000)</f>
        <v>42000</v>
      </c>
      <c r="N254" s="169">
        <f ca="1">IFERROR(__xludf.DUMMYFUNCTION("IMPORTRANGE(""https://docs.google.com/spreadsheets/d/1Yj_ptqi66GCucihVvJfMjLAmec39IyEx_6qawtMGysU/edit?usp=sharing"",""สบก!CC59"")"),33500)</f>
        <v>33500</v>
      </c>
      <c r="O254" s="169">
        <f ca="1">IF(L254&gt;0,N254*100/L254,0)</f>
        <v>46.918767507002798</v>
      </c>
      <c r="P254" s="169">
        <f ca="1">IF(M254&gt;0,N254*100/M254,0)</f>
        <v>79.761904761904759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IFERROR(__xludf.DUMMYFUNCTION("IMPORTRANGE(""https://docs.google.com/spreadsheets/d/1SX6NBoVAgQJ6U1MVXOaj8PK2l7WJ3RER9xtqwdhxkhw/edit?usp=sharing"",""กาญจนบุรี!J184"")"),0)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IFERROR(__xludf.DUMMYFUNCTION("IMPORTRANGE(""https://docs.google.com/spreadsheets/d/1SX6NBoVAgQJ6U1MVXOaj8PK2l7WJ3RER9xtqwdhxkhw/edit?usp=sharing"",""กาญจนบุรี!I185"")"),20)</f>
        <v>20</v>
      </c>
      <c r="J270" s="316">
        <f ca="1">IFERROR(__xludf.DUMMYFUNCTION("IMPORTRANGE(""https://docs.google.com/spreadsheets/d/1SX6NBoVAgQJ6U1MVXOaj8PK2l7WJ3RER9xtqwdhxkhw/edit?usp=sharing"",""กาญจนบุรี!J185"")"),20)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91730</v>
      </c>
      <c r="O271" s="151">
        <f t="shared" ref="O271:O273" ca="1" si="84">IF(L271&gt;0,N271*100/L271,0)</f>
        <v>49.96187363834423</v>
      </c>
      <c r="P271" s="151">
        <f t="shared" ref="P271:P273" ca="1" si="85">IF(M271&gt;0,N271*100/M271,0)</f>
        <v>56.763613861386141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91730</v>
      </c>
      <c r="O273" s="156">
        <f t="shared" ca="1" si="84"/>
        <v>49.96187363834423</v>
      </c>
      <c r="P273" s="156">
        <f t="shared" ca="1" si="85"/>
        <v>56.763613861386141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IFERROR(__xludf.DUMMYFUNCTION("IMPORTRANGE(""https://docs.google.com/spreadsheets/d/1Yj_ptqi66GCucihVvJfMjLAmec39IyEx_6qawtMGysU/edit?usp=sharing"",""สบก!CK59"")"),161600)</f>
        <v>161600</v>
      </c>
      <c r="N275" s="169">
        <f ca="1">IFERROR(__xludf.DUMMYFUNCTION("IMPORTRANGE(""https://docs.google.com/spreadsheets/d/1Yj_ptqi66GCucihVvJfMjLAmec39IyEx_6qawtMGysU/edit?usp=sharing"",""สบก!CL59"")"),91730)</f>
        <v>91730</v>
      </c>
      <c r="O275" s="169">
        <f ca="1">IF(L275&gt;0,N275*100/L275,0)</f>
        <v>49.96187363834423</v>
      </c>
      <c r="P275" s="169">
        <f ca="1">IF(M275&gt;0,N275*100/M275,0)</f>
        <v>56.763613861386141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IFERROR(__xludf.DUMMYFUNCTION("IMPORTRANGE(""https://docs.google.com/spreadsheets/d/1SX6NBoVAgQJ6U1MVXOaj8PK2l7WJ3RER9xtqwdhxkhw/edit?usp=sharing"",""กาญจนบุรี!I199"")"),30)</f>
        <v>30</v>
      </c>
      <c r="J289" s="316">
        <f ca="1">IFERROR(__xludf.DUMMYFUNCTION("IMPORTRANGE(""https://docs.google.com/spreadsheets/d/1SX6NBoVAgQJ6U1MVXOaj8PK2l7WJ3RER9xtqwdhxkhw/edit?usp=sharing"",""กาญจนบุรี!J199"")"),30)</f>
        <v>30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168240</v>
      </c>
      <c r="O290" s="151">
        <f t="shared" ref="O290:O292" ca="1" si="89">IF(L290&gt;0,N290*100/L290,0)</f>
        <v>77.223905260258888</v>
      </c>
      <c r="P290" s="151">
        <f t="shared" ref="P290:P292" ca="1" si="90">IF(M290&gt;0,N290*100/M290,0)</f>
        <v>77.223905260258888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168240</v>
      </c>
      <c r="O292" s="156">
        <f t="shared" ca="1" si="89"/>
        <v>77.223905260258888</v>
      </c>
      <c r="P292" s="156">
        <f t="shared" ca="1" si="90"/>
        <v>77.223905260258888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IFERROR(__xludf.DUMMYFUNCTION("IMPORTRANGE(""https://docs.google.com/spreadsheets/d/1Yj_ptqi66GCucihVvJfMjLAmec39IyEx_6qawtMGysU/edit?usp=sharing"",""สบก!CU59"")"),45740)</f>
        <v>45740</v>
      </c>
      <c r="O294" s="169">
        <f ca="1">IF(L294&gt;0,N294*100/L294,0)</f>
        <v>47.965604026845639</v>
      </c>
      <c r="P294" s="169">
        <f ca="1">IF(M294&gt;0,N294*100/M294,0)</f>
        <v>47.965604026845639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IFERROR(__xludf.DUMMYFUNCTION("IMPORTRANGE(""https://docs.google.com/spreadsheets/d/1SX6NBoVAgQJ6U1MVXOaj8PK2l7WJ3RER9xtqwdhxkhw/edit?usp=sharing"",""กาญจนบุรี!J213"")"),0)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IFERROR(__xludf.DUMMYFUNCTION("IMPORTRANGE(""https://docs.google.com/spreadsheets/d/1SX6NBoVAgQJ6U1MVXOaj8PK2l7WJ3RER9xtqwdhxkhw/edit?usp=sharing"",""กาญจนบุรี!I214"")"),3)</f>
        <v>3</v>
      </c>
      <c r="J309" s="333">
        <f ca="1">IFERROR(__xludf.DUMMYFUNCTION("IMPORTRANGE(""https://docs.google.com/spreadsheets/d/1SX6NBoVAgQJ6U1MVXOaj8PK2l7WJ3RER9xtqwdhxkhw/edit?usp=sharing"",""กาญจนบุรี!J214"")"),3)</f>
        <v>3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264600</v>
      </c>
      <c r="M310" s="152">
        <f t="shared" ca="1" si="93"/>
        <v>198500</v>
      </c>
      <c r="N310" s="152">
        <f t="shared" ca="1" si="93"/>
        <v>102870</v>
      </c>
      <c r="O310" s="151">
        <f t="shared" ref="O310:O312" ca="1" si="94">IF(L310&gt;0,N310*100/L310,0)</f>
        <v>38.877551020408163</v>
      </c>
      <c r="P310" s="151">
        <f t="shared" ref="P310:P312" ca="1" si="95">IF(M310&gt;0,N310*100/M310,0)</f>
        <v>51.823677581863983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264600</v>
      </c>
      <c r="M312" s="157">
        <f t="shared" ca="1" si="97"/>
        <v>198500</v>
      </c>
      <c r="N312" s="157">
        <f t="shared" ca="1" si="97"/>
        <v>102870</v>
      </c>
      <c r="O312" s="156">
        <f t="shared" ca="1" si="94"/>
        <v>38.877551020408163</v>
      </c>
      <c r="P312" s="156">
        <f t="shared" ca="1" si="95"/>
        <v>51.823677581863983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264600</v>
      </c>
      <c r="M314" s="168">
        <f ca="1">IFERROR(__xludf.DUMMYFUNCTION("IMPORTRANGE(""https://docs.google.com/spreadsheets/d/1Yj_ptqi66GCucihVvJfMjLAmec39IyEx_6qawtMGysU/edit?usp=sharing"",""สบก!DC59"")"),198500)</f>
        <v>198500</v>
      </c>
      <c r="N314" s="169">
        <f ca="1">IFERROR(__xludf.DUMMYFUNCTION("IMPORTRANGE(""https://docs.google.com/spreadsheets/d/1Yj_ptqi66GCucihVvJfMjLAmec39IyEx_6qawtMGysU/edit?usp=sharing"",""สบก!DD59"")"),102870)</f>
        <v>102870</v>
      </c>
      <c r="O314" s="169">
        <f ca="1">IF(L314&gt;0,N314*100/L314,0)</f>
        <v>38.877551020408163</v>
      </c>
      <c r="P314" s="169">
        <f ca="1">IF(M314&gt;0,N314*100/M314,0)</f>
        <v>51.823677581863983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IFERROR(__xludf.DUMMYFUNCTION("IMPORTRANGE(""https://docs.google.com/spreadsheets/d/1Yj_ptqi66GCucihVvJfMjLAmec39IyEx_6qawtMGysU/edit?usp=sharing"",""สบก!CZ59"")"),264600)</f>
        <v>264600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IFERROR(__xludf.DUMMYFUNCTION("IMPORTRANGE(""https://docs.google.com/spreadsheets/d/1SX6NBoVAgQJ6U1MVXOaj8PK2l7WJ3RER9xtqwdhxkhw/edit?usp=sharing"",""กาญจนบุรี!J224"")"),3)</f>
        <v>3</v>
      </c>
      <c r="K324" s="224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IFERROR(__xludf.DUMMYFUNCTION("IMPORTRANGE(""https://docs.google.com/spreadsheets/d/1SX6NBoVAgQJ6U1MVXOaj8PK2l7WJ3RER9xtqwdhxkhw/edit?usp=sharing"",""กาญจนบุรี!J226"")"),0)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IFERROR(__xludf.DUMMYFUNCTION("IMPORTRANGE(""https://docs.google.com/spreadsheets/d/1SX6NBoVAgQJ6U1MVXOaj8PK2l7WJ3RER9xtqwdhxkhw/edit?usp=sharing"",""กาญจนบุรี!I228"")"),220)</f>
        <v>220</v>
      </c>
      <c r="J328" s="339">
        <f ca="1">IFERROR(__xludf.DUMMYFUNCTION("IMPORTRANGE(""https://docs.google.com/spreadsheets/d/1SX6NBoVAgQJ6U1MVXOaj8PK2l7WJ3RER9xtqwdhxkhw/edit?usp=sharing"",""กาญจนบุรี!J228"")"),5)</f>
        <v>5</v>
      </c>
      <c r="K328" s="317">
        <f ca="1">IF(I328&gt;0,J328*100/I328,0)</f>
        <v>2.2727272727272729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1010640</v>
      </c>
      <c r="M329" s="152">
        <f t="shared" ca="1" si="98"/>
        <v>746710</v>
      </c>
      <c r="N329" s="152">
        <f t="shared" ca="1" si="98"/>
        <v>539773.38</v>
      </c>
      <c r="O329" s="151">
        <f t="shared" ref="O329:O331" ca="1" si="99">IF(L329&gt;0,N329*100/L329,0)</f>
        <v>53.409065542626458</v>
      </c>
      <c r="P329" s="151">
        <f t="shared" ref="P329:P331" ca="1" si="100">IF(M329&gt;0,N329*100/M329,0)</f>
        <v>72.286882457714512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1010640</v>
      </c>
      <c r="M331" s="157">
        <f t="shared" ca="1" si="102"/>
        <v>746710</v>
      </c>
      <c r="N331" s="157">
        <f t="shared" ca="1" si="102"/>
        <v>539773.38</v>
      </c>
      <c r="O331" s="156">
        <f t="shared" ca="1" si="99"/>
        <v>53.409065542626458</v>
      </c>
      <c r="P331" s="156">
        <f t="shared" ca="1" si="100"/>
        <v>72.286882457714512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1010640</v>
      </c>
      <c r="M333" s="168">
        <f ca="1">IFERROR(__xludf.DUMMYFUNCTION("IMPORTRANGE(""https://docs.google.com/spreadsheets/d/1Yj_ptqi66GCucihVvJfMjLAmec39IyEx_6qawtMGysU/edit?usp=sharing"",""สบก!DL59"")"),746710)</f>
        <v>746710</v>
      </c>
      <c r="N333" s="169">
        <f ca="1">IFERROR(__xludf.DUMMYFUNCTION("IMPORTRANGE(""https://docs.google.com/spreadsheets/d/1Yj_ptqi66GCucihVvJfMjLAmec39IyEx_6qawtMGysU/edit?usp=sharing"",""สบก!DM59"")"),539773.38)</f>
        <v>539773.38</v>
      </c>
      <c r="O333" s="169">
        <f ca="1">IF(L333&gt;0,N333*100/L333,0)</f>
        <v>53.409065542626458</v>
      </c>
      <c r="P333" s="169">
        <f ca="1">IF(M333&gt;0,N333*100/M333,0)</f>
        <v>72.286882457714512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IFERROR(__xludf.DUMMYFUNCTION("IMPORTRANGE(""https://docs.google.com/spreadsheets/d/1Yj_ptqi66GCucihVvJfMjLAmec39IyEx_6qawtMGysU/edit?usp=sharing"",""สบก!DI59"")"),381440)</f>
        <v>381440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IFERROR(__xludf.DUMMYFUNCTION("IMPORTRANGE(""https://docs.google.com/spreadsheets/d/1SX6NBoVAgQJ6U1MVXOaj8PK2l7WJ3RER9xtqwdhxkhw/edit?usp=sharing"",""กาญจนบุรี!J234"")"),44)</f>
        <v>44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IFERROR(__xludf.DUMMYFUNCTION("IMPORTRANGE(""https://docs.google.com/spreadsheets/d/1SX6NBoVAgQJ6U1MVXOaj8PK2l7WJ3RER9xtqwdhxkhw/edit?usp=sharing"",""กาญจนบุรี!J235"")"),319.06)</f>
        <v>319.06</v>
      </c>
      <c r="K340" s="342">
        <f t="shared" ca="1" si="103"/>
        <v>16.278571428571428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IFERROR(__xludf.DUMMYFUNCTION("IMPORTRANGE(""https://docs.google.com/spreadsheets/d/1SX6NBoVAgQJ6U1MVXOaj8PK2l7WJ3RER9xtqwdhxkhw/edit?usp=sharing"",""กาญจนบุรี!J236"")"),32)</f>
        <v>32</v>
      </c>
      <c r="K341" s="342">
        <f t="shared" ca="1" si="103"/>
        <v>14.545454545454545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IFERROR(__xludf.DUMMYFUNCTION("IMPORTRANGE(""https://docs.google.com/spreadsheets/d/1SX6NBoVAgQJ6U1MVXOaj8PK2l7WJ3RER9xtqwdhxkhw/edit?usp=sharing"",""กาญจนบุรี!J237"")"),273.61)</f>
        <v>273.61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IFERROR(__xludf.DUMMYFUNCTION("IMPORTRANGE(""https://docs.google.com/spreadsheets/d/1SX6NBoVAgQJ6U1MVXOaj8PK2l7WJ3RER9xtqwdhxkhw/edit?usp=sharing"",""กาญจนบุรี!J240"")"),5)</f>
        <v>5</v>
      </c>
      <c r="K345" s="342">
        <f t="shared" ca="1" si="103"/>
        <v>2.2727272727272729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IFERROR(__xludf.DUMMYFUNCTION("IMPORTRANGE(""https://docs.google.com/spreadsheets/d/1SX6NBoVAgQJ6U1MVXOaj8PK2l7WJ3RER9xtqwdhxkhw/edit?usp=sharing"",""กาญจนบุรี!J241"")"),41.75)</f>
        <v>41.75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IFERROR(__xludf.DUMMYFUNCTION("IMPORTRANGE(""https://docs.google.com/spreadsheets/d/1SX6NBoVAgQJ6U1MVXOaj8PK2l7WJ3RER9xtqwdhxkhw/edit?usp=sharing"",""กาญจนบุรี!L242"")"),3234038)</f>
        <v>3234038</v>
      </c>
      <c r="M347" s="358"/>
      <c r="N347" s="358">
        <f ca="1">IFERROR(__xludf.DUMMYFUNCTION("IMPORTRANGE(""https://docs.google.com/spreadsheets/d/1SX6NBoVAgQJ6U1MVXOaj8PK2l7WJ3RER9xtqwdhxkhw/edit?usp=sharing"",""กาญจนบุรี!M242"")"),927231.47)</f>
        <v>927231.47</v>
      </c>
      <c r="O347" s="358">
        <f ca="1">+IF(L347&gt;0,N347*100/L347,0)</f>
        <v>28.671013451295252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IFERROR(__xludf.DUMMYFUNCTION("IMPORTRANGE(""https://docs.google.com/spreadsheets/d/1SX6NBoVAgQJ6U1MVXOaj8PK2l7WJ3RER9xtqwdhxkhw/edit?usp=sharing"",""กาญจนบุรี!M244"")"),154727)</f>
        <v>154727</v>
      </c>
      <c r="O349" s="373">
        <f ca="1">+IF(L349&gt;0,N349*100/L349,0)</f>
        <v>40.63635886122492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IFERROR(__xludf.DUMMYFUNCTION("IMPORTRANGE(""https://docs.google.com/spreadsheets/d/1SX6NBoVAgQJ6U1MVXOaj8PK2l7WJ3RER9xtqwdhxkhw/edit?usp=sharing"",""กาญจนบุรี!L247"")"),380760)</f>
        <v>380760</v>
      </c>
      <c r="M352" s="165"/>
      <c r="N352" s="164">
        <f ca="1">IFERROR(__xludf.DUMMYFUNCTION("IMPORTRANGE(""https://docs.google.com/spreadsheets/d/1SX6NBoVAgQJ6U1MVXOaj8PK2l7WJ3RER9xtqwdhxkhw/edit?usp=sharing"",""กาญจนบุรี!M247"")"),154727)</f>
        <v>154727</v>
      </c>
      <c r="O352" s="165">
        <f t="shared" ca="1" si="105"/>
        <v>40.63635886122492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IFERROR(__xludf.DUMMYFUNCTION("IMPORTRANGE(""https://docs.google.com/spreadsheets/d/1SX6NBoVAgQJ6U1MVXOaj8PK2l7WJ3RER9xtqwdhxkhw/edit?usp=sharing"",""กาญจนบุรี!L249"")"),380760)</f>
        <v>380760</v>
      </c>
      <c r="M354" s="169"/>
      <c r="N354" s="168">
        <f ca="1">IFERROR(__xludf.DUMMYFUNCTION("IMPORTRANGE(""https://docs.google.com/spreadsheets/d/1SX6NBoVAgQJ6U1MVXOaj8PK2l7WJ3RER9xtqwdhxkhw/edit?usp=sharing"",""กาญจนบุรี!M249"")"),154727)</f>
        <v>154727</v>
      </c>
      <c r="O354" s="169">
        <f t="shared" ca="1" si="105"/>
        <v>40.63635886122492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IFERROR(__xludf.DUMMYFUNCTION("IMPORTRANGE(""https://docs.google.com/spreadsheets/d/1SX6NBoVAgQJ6U1MVXOaj8PK2l7WJ3RER9xtqwdhxkhw/edit?usp=sharing"",""กาญจนบุรี!M251"")"),33770)</f>
        <v>33770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IFERROR(__xludf.DUMMYFUNCTION("IMPORTRANGE(""https://docs.google.com/spreadsheets/d/1SX6NBoVAgQJ6U1MVXOaj8PK2l7WJ3RER9xtqwdhxkhw/edit?usp=sharing"",""กาญจนบุรี!M252"")"),73707)</f>
        <v>73707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IFERROR(__xludf.DUMMYFUNCTION("IMPORTRANGE(""https://docs.google.com/spreadsheets/d/1SX6NBoVAgQJ6U1MVXOaj8PK2l7WJ3RER9xtqwdhxkhw/edit?usp=sharing"",""กาญจนบุรี!M253"")"),15070)</f>
        <v>15070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IFERROR(__xludf.DUMMYFUNCTION("IMPORTRANGE(""https://docs.google.com/spreadsheets/d/1SX6NBoVAgQJ6U1MVXOaj8PK2l7WJ3RER9xtqwdhxkhw/edit?usp=sharing"",""กาญจนบุรี!M275"")"),296345.5)</f>
        <v>296345.5</v>
      </c>
      <c r="O380" s="373">
        <f ca="1">+IF(L380&gt;0,N380*100/L380,0)</f>
        <v>28.812808695990356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IFERROR(__xludf.DUMMYFUNCTION("IMPORTRANGE(""https://docs.google.com/spreadsheets/d/1SX6NBoVAgQJ6U1MVXOaj8PK2l7WJ3RER9xtqwdhxkhw/edit?usp=sharing"",""กาญจนบุรี!M278"")"),296345.5)</f>
        <v>296345.5</v>
      </c>
      <c r="O383" s="165">
        <f t="shared" ca="1" si="109"/>
        <v>28.812808695990356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IFERROR(__xludf.DUMMYFUNCTION("IMPORTRANGE(""https://docs.google.com/spreadsheets/d/1SX6NBoVAgQJ6U1MVXOaj8PK2l7WJ3RER9xtqwdhxkhw/edit?usp=sharing"",""กาญจนบุรี!M280"")"),296345.5)</f>
        <v>296345.5</v>
      </c>
      <c r="O385" s="169">
        <f t="shared" ca="1" si="109"/>
        <v>28.812808695990356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IFERROR(__xludf.DUMMYFUNCTION("IMPORTRANGE(""https://docs.google.com/spreadsheets/d/1SX6NBoVAgQJ6U1MVXOaj8PK2l7WJ3RER9xtqwdhxkhw/edit?usp=sharing"",""กาญจนบุรี!M283"")"),76276)</f>
        <v>76276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IFERROR(__xludf.DUMMYFUNCTION("IMPORTRANGE(""https://docs.google.com/spreadsheets/d/1SX6NBoVAgQJ6U1MVXOaj8PK2l7WJ3RER9xtqwdhxkhw/edit?usp=sharing"",""กาญจนบุรี!J296"")"),144)</f>
        <v>144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IFERROR(__xludf.DUMMYFUNCTION("IMPORTRANGE(""https://docs.google.com/spreadsheets/d/1SX6NBoVAgQJ6U1MVXOaj8PK2l7WJ3RER9xtqwdhxkhw/edit?usp=sharing"",""กาญจนบุรี!M296"")"),16440.32)</f>
        <v>16440.32</v>
      </c>
      <c r="O401" s="373">
        <f ca="1">+IF(L401&gt;0,N401*100/L401,0)</f>
        <v>9.7170754772740704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IFERROR(__xludf.DUMMYFUNCTION("IMPORTRANGE(""https://docs.google.com/spreadsheets/d/1SX6NBoVAgQJ6U1MVXOaj8PK2l7WJ3RER9xtqwdhxkhw/edit?usp=sharing"",""กาญจนบุรี!M299"")"),16440.32)</f>
        <v>16440.32</v>
      </c>
      <c r="O404" s="169">
        <f t="shared" ca="1" si="112"/>
        <v>9.7170754772740704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IFERROR(__xludf.DUMMYFUNCTION("IMPORTRANGE(""https://docs.google.com/spreadsheets/d/1SX6NBoVAgQJ6U1MVXOaj8PK2l7WJ3RER9xtqwdhxkhw/edit?usp=sharing"",""กาญจนบุรี!M301"")"),16440.32)</f>
        <v>16440.32</v>
      </c>
      <c r="O406" s="169">
        <f t="shared" ca="1" si="112"/>
        <v>9.7170754772740704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IFERROR(__xludf.DUMMYFUNCTION("IMPORTRANGE(""https://docs.google.com/spreadsheets/d/1SX6NBoVAgQJ6U1MVXOaj8PK2l7WJ3RER9xtqwdhxkhw/edit?usp=sharing"",""กาญจนบุรี!M302"")"),12460.32)</f>
        <v>12460.32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IFERROR(__xludf.DUMMYFUNCTION("IMPORTRANGE(""https://docs.google.com/spreadsheets/d/1SX6NBoVAgQJ6U1MVXOaj8PK2l7WJ3RER9xtqwdhxkhw/edit?usp=sharing"",""กาญจนบุรี!M305"")"),3980)</f>
        <v>3980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IFERROR(__xludf.DUMMYFUNCTION("IMPORTRANGE(""https://docs.google.com/spreadsheets/d/1SX6NBoVAgQJ6U1MVXOaj8PK2l7WJ3RER9xtqwdhxkhw/edit?usp=sharing"",""กาญจนบุรี!J329"")"),0)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IFERROR(__xludf.DUMMYFUNCTION("IMPORTRANGE(""https://docs.google.com/spreadsheets/d/1SX6NBoVAgQJ6U1MVXOaj8PK2l7WJ3RER9xtqwdhxkhw/edit?usp=sharing"",""กาญจนบุรี!M330"")"),70616.29)</f>
        <v>70616.289999999994</v>
      </c>
      <c r="O435" s="412">
        <f t="shared" ref="O435:O439" ca="1" si="114">+IF(L435&gt;0,N435*100/L435,0)</f>
        <v>49.039090277777774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IFERROR(__xludf.DUMMYFUNCTION("IMPORTRANGE(""https://docs.google.com/spreadsheets/d/1SX6NBoVAgQJ6U1MVXOaj8PK2l7WJ3RER9xtqwdhxkhw/edit?usp=sharing"",""กาญจนบุรี!M332"")"),70616.29)</f>
        <v>70616.289999999994</v>
      </c>
      <c r="O437" s="169">
        <f t="shared" ca="1" si="114"/>
        <v>49.039090277777774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IFERROR(__xludf.DUMMYFUNCTION("IMPORTRANGE(""https://docs.google.com/spreadsheets/d/1SX6NBoVAgQJ6U1MVXOaj8PK2l7WJ3RER9xtqwdhxkhw/edit?usp=sharing"",""กาญจนบุรี!M334"")"),70616.29)</f>
        <v>70616.289999999994</v>
      </c>
      <c r="O439" s="169">
        <f t="shared" ca="1" si="114"/>
        <v>49.039090277777774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IFERROR(__xludf.DUMMYFUNCTION("IMPORTRANGE(""https://docs.google.com/spreadsheets/d/1SX6NBoVAgQJ6U1MVXOaj8PK2l7WJ3RER9xtqwdhxkhw/edit?usp=sharing"",""กาญจนบุรี!M338"")"),8915)</f>
        <v>8915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IFERROR(__xludf.DUMMYFUNCTION("IMPORTRANGE(""https://docs.google.com/spreadsheets/d/1SX6NBoVAgQJ6U1MVXOaj8PK2l7WJ3RER9xtqwdhxkhw/edit?usp=sharing"",""กาญจนบุรี!L350"")"),1117828)</f>
        <v>1117828</v>
      </c>
      <c r="M455" s="373"/>
      <c r="N455" s="373">
        <f ca="1">IFERROR(__xludf.DUMMYFUNCTION("IMPORTRANGE(""https://docs.google.com/spreadsheets/d/1SX6NBoVAgQJ6U1MVXOaj8PK2l7WJ3RER9xtqwdhxkhw/edit?usp=sharing"",""กาญจนบุรี!M350"")"),171373.36)</f>
        <v>171373.36</v>
      </c>
      <c r="O455" s="373">
        <f t="shared" ref="O455:O459" ca="1" si="116">+IF(L455&gt;0,N455*100/L455,0)</f>
        <v>15.330923898846692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IFERROR(__xludf.DUMMYFUNCTION("IMPORTRANGE(""https://docs.google.com/spreadsheets/d/1SX6NBoVAgQJ6U1MVXOaj8PK2l7WJ3RER9xtqwdhxkhw/edit?usp=sharing"",""กาญจนบุรี!L352"")"),1117828)</f>
        <v>1117828</v>
      </c>
      <c r="M457" s="165"/>
      <c r="N457" s="169">
        <f ca="1">IFERROR(__xludf.DUMMYFUNCTION("IMPORTRANGE(""https://docs.google.com/spreadsheets/d/1SX6NBoVAgQJ6U1MVXOaj8PK2l7WJ3RER9xtqwdhxkhw/edit?usp=sharing"",""กาญจนบุรี!M352"")"),171373.36)</f>
        <v>171373.36</v>
      </c>
      <c r="O457" s="169">
        <f t="shared" ca="1" si="116"/>
        <v>15.330923898846692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IFERROR(__xludf.DUMMYFUNCTION("IMPORTRANGE(""https://docs.google.com/spreadsheets/d/1SX6NBoVAgQJ6U1MVXOaj8PK2l7WJ3RER9xtqwdhxkhw/edit?usp=sharing"",""กาญจนบุรี!L354"")"),1117828)</f>
        <v>1117828</v>
      </c>
      <c r="M459" s="169"/>
      <c r="N459" s="169">
        <f ca="1">IFERROR(__xludf.DUMMYFUNCTION("IMPORTRANGE(""https://docs.google.com/spreadsheets/d/1SX6NBoVAgQJ6U1MVXOaj8PK2l7WJ3RER9xtqwdhxkhw/edit?usp=sharing"",""กาญจนบุรี!M354"")"),171373.36)</f>
        <v>171373.36</v>
      </c>
      <c r="O459" s="169">
        <f t="shared" ca="1" si="116"/>
        <v>15.330923898846692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IFERROR(__xludf.DUMMYFUNCTION("IMPORTRANGE(""https://docs.google.com/spreadsheets/d/1SX6NBoVAgQJ6U1MVXOaj8PK2l7WJ3RER9xtqwdhxkhw/edit?usp=sharing"",""กาญจนบุรี!M357"")"),76276)</f>
        <v>76276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IFERROR(__xludf.DUMMYFUNCTION("IMPORTRANGE(""https://docs.google.com/spreadsheets/d/1SX6NBoVAgQJ6U1MVXOaj8PK2l7WJ3RER9xtqwdhxkhw/edit?usp=sharing"",""กาญจนบุรี!M358"")"),95097.36)</f>
        <v>95097.36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IFERROR(__xludf.DUMMYFUNCTION("IMPORTRANGE(""https://docs.google.com/spreadsheets/d/1SX6NBoVAgQJ6U1MVXOaj8PK2l7WJ3RER9xtqwdhxkhw/edit?usp=sharing"",""กาญจนบุรี!I359"")"),186125)</f>
        <v>186125</v>
      </c>
      <c r="J464" s="267">
        <f ca="1">IFERROR(__xludf.DUMMYFUNCTION("IMPORTRANGE(""https://docs.google.com/spreadsheets/d/1SX6NBoVAgQJ6U1MVXOaj8PK2l7WJ3RER9xtqwdhxkhw/edit?usp=sharing"",""กาญจนบุรี!J359"")"),0)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IFERROR(__xludf.DUMMYFUNCTION("IMPORTRANGE(""https://docs.google.com/spreadsheets/d/1SX6NBoVAgQJ6U1MVXOaj8PK2l7WJ3RER9xtqwdhxkhw/edit?usp=sharing"",""กาญจนบุรี!J360"")"),132464)</f>
        <v>132464</v>
      </c>
      <c r="K465" s="202">
        <f t="shared" ca="1" si="117"/>
        <v>71.169375419744796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IFERROR(__xludf.DUMMYFUNCTION("IMPORTRANGE(""https://docs.google.com/spreadsheets/d/1SX6NBoVAgQJ6U1MVXOaj8PK2l7WJ3RER9xtqwdhxkhw/edit?usp=sharing"",""กาญจนบุรี!J361"")"),9862)</f>
        <v>9862</v>
      </c>
      <c r="K466" s="202">
        <f t="shared" ca="1" si="117"/>
        <v>73.49280870407631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IFERROR(__xludf.DUMMYFUNCTION("IMPORTRANGE(""https://docs.google.com/spreadsheets/d/1SX6NBoVAgQJ6U1MVXOaj8PK2l7WJ3RER9xtqwdhxkhw/edit?usp=sharing"",""กาญจนบุรี!J362"")"),106674)</f>
        <v>106674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IFERROR(__xludf.DUMMYFUNCTION("IMPORTRANGE(""https://docs.google.com/spreadsheets/d/1SX6NBoVAgQJ6U1MVXOaj8PK2l7WJ3RER9xtqwdhxkhw/edit?usp=sharing"",""กาญจนบุรี!J363"")"),8251)</f>
        <v>8251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IFERROR(__xludf.DUMMYFUNCTION("IMPORTRANGE(""https://docs.google.com/spreadsheets/d/1SX6NBoVAgQJ6U1MVXOaj8PK2l7WJ3RER9xtqwdhxkhw/edit?usp=sharing"",""กาญจนบุรี!J364"")"),21593)</f>
        <v>21593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IFERROR(__xludf.DUMMYFUNCTION("IMPORTRANGE(""https://docs.google.com/spreadsheets/d/1SX6NBoVAgQJ6U1MVXOaj8PK2l7WJ3RER9xtqwdhxkhw/edit?usp=sharing"",""กาญจนบุรี!J365"")"),1301)</f>
        <v>1301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IFERROR(__xludf.DUMMYFUNCTION("IMPORTRANGE(""https://docs.google.com/spreadsheets/d/1SX6NBoVAgQJ6U1MVXOaj8PK2l7WJ3RER9xtqwdhxkhw/edit?usp=sharing"",""กาญจนบุรี!J366"")"),4197)</f>
        <v>4197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IFERROR(__xludf.DUMMYFUNCTION("IMPORTRANGE(""https://docs.google.com/spreadsheets/d/1SX6NBoVAgQJ6U1MVXOaj8PK2l7WJ3RER9xtqwdhxkhw/edit?usp=sharing"",""กาญจนบุรี!J367"")"),310)</f>
        <v>310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IFERROR(__xludf.DUMMYFUNCTION("IMPORTRANGE(""https://docs.google.com/spreadsheets/d/1SX6NBoVAgQJ6U1MVXOaj8PK2l7WJ3RER9xtqwdhxkhw/edit?usp=sharing"",""กาญจนบุรี!I411"")"),0)</f>
        <v>0</v>
      </c>
      <c r="J516" s="267">
        <f ca="1">IFERROR(__xludf.DUMMYFUNCTION("IMPORTRANGE(""https://docs.google.com/spreadsheets/d/1SX6NBoVAgQJ6U1MVXOaj8PK2l7WJ3RER9xtqwdhxkhw/edit?usp=sharing"",""กาญจนบุรี!J411"")"),0)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IFERROR(__xludf.DUMMYFUNCTION("IMPORTRANGE(""https://docs.google.com/spreadsheets/d/1SX6NBoVAgQJ6U1MVXOaj8PK2l7WJ3RER9xtqwdhxkhw/edit?usp=sharing"",""กาญจนบุรี!I412"")"),0)</f>
        <v>0</v>
      </c>
      <c r="J517" s="284">
        <f ca="1">IFERROR(__xludf.DUMMYFUNCTION("IMPORTRANGE(""https://docs.google.com/spreadsheets/d/1SX6NBoVAgQJ6U1MVXOaj8PK2l7WJ3RER9xtqwdhxkhw/edit?usp=sharing"",""กาญจนบุรี!J412"")"),0)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IFERROR(__xludf.DUMMYFUNCTION("IMPORTRANGE(""https://docs.google.com/spreadsheets/d/1SX6NBoVAgQJ6U1MVXOaj8PK2l7WJ3RER9xtqwdhxkhw/edit?usp=sharing"",""กาญจนบุรี!I413"")"),0)</f>
        <v>0</v>
      </c>
      <c r="J518" s="284">
        <f ca="1">IFERROR(__xludf.DUMMYFUNCTION("IMPORTRANGE(""https://docs.google.com/spreadsheets/d/1SX6NBoVAgQJ6U1MVXOaj8PK2l7WJ3RER9xtqwdhxkhw/edit?usp=sharing"",""กาญจนบุรี!J413"")"),0)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IFERROR(__xludf.DUMMYFUNCTION("IMPORTRANGE(""https://docs.google.com/spreadsheets/d/1SX6NBoVAgQJ6U1MVXOaj8PK2l7WJ3RER9xtqwdhxkhw/edit?usp=sharing"",""กาญจนบุรี!I420"")"),988)</f>
        <v>988</v>
      </c>
      <c r="J525" s="284">
        <f ca="1">IFERROR(__xludf.DUMMYFUNCTION("IMPORTRANGE(""https://docs.google.com/spreadsheets/d/1SX6NBoVAgQJ6U1MVXOaj8PK2l7WJ3RER9xtqwdhxkhw/edit?usp=sharing"",""กาญจนบุรี!J420"")"),0)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IFERROR(__xludf.DUMMYFUNCTION("IMPORTRANGE(""https://docs.google.com/spreadsheets/d/1SX6NBoVAgQJ6U1MVXOaj8PK2l7WJ3RER9xtqwdhxkhw/edit?usp=sharing"",""กาญจนบุรี!I421"")"),56)</f>
        <v>56</v>
      </c>
      <c r="J526" s="284">
        <f ca="1">IFERROR(__xludf.DUMMYFUNCTION("IMPORTRANGE(""https://docs.google.com/spreadsheets/d/1SX6NBoVAgQJ6U1MVXOaj8PK2l7WJ3RER9xtqwdhxkhw/edit?usp=sharing"",""กาญจนบุรี!J421"")"),0)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IFERROR(__xludf.DUMMYFUNCTION("IMPORTRANGE(""https://docs.google.com/spreadsheets/d/1SX6NBoVAgQJ6U1MVXOaj8PK2l7WJ3RER9xtqwdhxkhw/edit?usp=sharing"",""กาญจนบุรี!M428"")"),27040)</f>
        <v>27040</v>
      </c>
      <c r="O533" s="412">
        <f t="shared" ref="O533:O537" ca="1" si="118">+IF(L533&gt;0,N533*100/L533,0)</f>
        <v>68.559837728194722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IFERROR(__xludf.DUMMYFUNCTION("IMPORTRANGE(""https://docs.google.com/spreadsheets/d/1SX6NBoVAgQJ6U1MVXOaj8PK2l7WJ3RER9xtqwdhxkhw/edit?usp=sharing"",""กาญจนบุรี!L430"")"),39440)</f>
        <v>39440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IFERROR(__xludf.DUMMYFUNCTION("IMPORTRANGE(""https://docs.google.com/spreadsheets/d/1SX6NBoVAgQJ6U1MVXOaj8PK2l7WJ3RER9xtqwdhxkhw/edit?usp=sharing"",""กาญจนบุรี!M430"")"),27040)</f>
        <v>27040</v>
      </c>
      <c r="O535" s="169">
        <f t="shared" ca="1" si="118"/>
        <v>68.559837728194722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IFERROR(__xludf.DUMMYFUNCTION("IMPORTRANGE(""https://docs.google.com/spreadsheets/d/1SX6NBoVAgQJ6U1MVXOaj8PK2l7WJ3RER9xtqwdhxkhw/edit?usp=sharing"",""กาญจนบุรี!L432"")"),39440)</f>
        <v>39440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IFERROR(__xludf.DUMMYFUNCTION("IMPORTRANGE(""https://docs.google.com/spreadsheets/d/1SX6NBoVAgQJ6U1MVXOaj8PK2l7WJ3RER9xtqwdhxkhw/edit?usp=sharing"",""กาญจนบุรี!M432"")"),27040)</f>
        <v>27040</v>
      </c>
      <c r="O537" s="169">
        <f t="shared" ca="1" si="118"/>
        <v>68.559837728194722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IFERROR(__xludf.DUMMYFUNCTION("IMPORTRANGE(""https://docs.google.com/spreadsheets/d/1SX6NBoVAgQJ6U1MVXOaj8PK2l7WJ3RER9xtqwdhxkhw/edit?usp=sharing"",""กาญจนบุรี!M433"")"),23840)</f>
        <v>23840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IFERROR(__xludf.DUMMYFUNCTION("IMPORTRANGE(""https://docs.google.com/spreadsheets/d/1SX6NBoVAgQJ6U1MVXOaj8PK2l7WJ3RER9xtqwdhxkhw/edit?usp=sharing"",""กาญจนบุรี!M436"")"),3200)</f>
        <v>3200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IFERROR(__xludf.DUMMYFUNCTION("IMPORTRANGE(""https://docs.google.com/spreadsheets/d/1SX6NBoVAgQJ6U1MVXOaj8PK2l7WJ3RER9xtqwdhxkhw/edit?usp=sharing"",""กาญจนบุรี!M446"")"),70365)</f>
        <v>70365</v>
      </c>
      <c r="O551" s="412">
        <f t="shared" ref="O551:O555" ca="1" si="120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IFERROR(__xludf.DUMMYFUNCTION("IMPORTRANGE(""https://docs.google.com/spreadsheets/d/1SX6NBoVAgQJ6U1MVXOaj8PK2l7WJ3RER9xtqwdhxkhw/edit?usp=sharing"",""กาญจนบุรี!M448"")"),70365)</f>
        <v>70365</v>
      </c>
      <c r="O553" s="169">
        <f t="shared" ca="1" si="120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IFERROR(__xludf.DUMMYFUNCTION("IMPORTRANGE(""https://docs.google.com/spreadsheets/d/1SX6NBoVAgQJ6U1MVXOaj8PK2l7WJ3RER9xtqwdhxkhw/edit?usp=sharing"",""กาญจนบุรี!M450"")"),70365)</f>
        <v>70365</v>
      </c>
      <c r="O555" s="169">
        <f t="shared" ca="1" si="120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IFERROR(__xludf.DUMMYFUNCTION("IMPORTRANGE(""https://docs.google.com/spreadsheets/d/1SX6NBoVAgQJ6U1MVXOaj8PK2l7WJ3RER9xtqwdhxkhw/edit?usp=sharing"",""กาญจนบุรี!M454"")"),70365)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IFERROR(__xludf.DUMMYFUNCTION("IMPORTRANGE(""https://docs.google.com/spreadsheets/d/1SX6NBoVAgQJ6U1MVXOaj8PK2l7WJ3RER9xtqwdhxkhw/edit?usp=sharing"",""กาญจนบุรี!J459"")"),1812)</f>
        <v>1812</v>
      </c>
      <c r="K564" s="372">
        <f ca="1">IF(I564&gt;0,J564*100/I564,0)</f>
        <v>95.368421052631575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IFERROR(__xludf.DUMMYFUNCTION("IMPORTRANGE(""https://docs.google.com/spreadsheets/d/1SX6NBoVAgQJ6U1MVXOaj8PK2l7WJ3RER9xtqwdhxkhw/edit?usp=sharing"",""กาญจนบุรี!M459"")"),120004)</f>
        <v>120004</v>
      </c>
      <c r="O564" s="373">
        <f t="shared" ref="O564:O568" ca="1" si="122">+IF(L564&gt;0,N564*100/L564,0)</f>
        <v>86.959420289855075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IFERROR(__xludf.DUMMYFUNCTION("IMPORTRANGE(""https://docs.google.com/spreadsheets/d/1SX6NBoVAgQJ6U1MVXOaj8PK2l7WJ3RER9xtqwdhxkhw/edit?usp=sharing"",""กาญจนบุรี!M461"")"),120004)</f>
        <v>120004</v>
      </c>
      <c r="O566" s="169">
        <f t="shared" ca="1" si="122"/>
        <v>86.959420289855075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IFERROR(__xludf.DUMMYFUNCTION("IMPORTRANGE(""https://docs.google.com/spreadsheets/d/1SX6NBoVAgQJ6U1MVXOaj8PK2l7WJ3RER9xtqwdhxkhw/edit?usp=sharing"",""กาญจนบุรี!M463"")"),120004)</f>
        <v>120004</v>
      </c>
      <c r="O568" s="169">
        <f t="shared" ca="1" si="122"/>
        <v>86.959420289855075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IFERROR(__xludf.DUMMYFUNCTION("IMPORTRANGE(""https://docs.google.com/spreadsheets/d/1SX6NBoVAgQJ6U1MVXOaj8PK2l7WJ3RER9xtqwdhxkhw/edit?usp=sharing"",""กาญจนบุรี!M466"")"),75909)</f>
        <v>75909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IFERROR(__xludf.DUMMYFUNCTION("IMPORTRANGE(""https://docs.google.com/spreadsheets/d/1SX6NBoVAgQJ6U1MVXOaj8PK2l7WJ3RER9xtqwdhxkhw/edit?usp=sharing"",""กาญจนบุรี!M467"")"),44095)</f>
        <v>44095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IFERROR(__xludf.DUMMYFUNCTION("IMPORTRANGE(""https://docs.google.com/spreadsheets/d/1SX6NBoVAgQJ6U1MVXOaj8PK2l7WJ3RER9xtqwdhxkhw/edit?usp=sharing"",""กาญจนบุรี!J468"")"),1812)</f>
        <v>1812</v>
      </c>
      <c r="K573" s="202">
        <f ca="1">IF(I573&gt;0,J573*100/I573,0)</f>
        <v>95.368421052631575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IFERROR(__xludf.DUMMYFUNCTION("IMPORTRANGE(""https://docs.google.com/spreadsheets/d/1SX6NBoVAgQJ6U1MVXOaj8PK2l7WJ3RER9xtqwdhxkhw/edit?usp=sharing"",""กาญจนบุรี!J471"")"),325)</f>
        <v>325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IFERROR(__xludf.DUMMYFUNCTION("IMPORTRANGE(""https://docs.google.com/spreadsheets/d/1SX6NBoVAgQJ6U1MVXOaj8PK2l7WJ3RER9xtqwdhxkhw/edit?usp=sharing"",""กาญจนบุรี!J472"")"),1487)</f>
        <v>1487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IFERROR(__xludf.DUMMYFUNCTION("IMPORTRANGE(""https://docs.google.com/spreadsheets/d/1SX6NBoVAgQJ6U1MVXOaj8PK2l7WJ3RER9xtqwdhxkhw/edit?usp=sharing"",""กาญจนบุรี!I491"")"),0)</f>
        <v>0</v>
      </c>
      <c r="J596" s="241">
        <f ca="1">IFERROR(__xludf.DUMMYFUNCTION("IMPORTRANGE(""https://docs.google.com/spreadsheets/d/1SX6NBoVAgQJ6U1MVXOaj8PK2l7WJ3RER9xtqwdhxkhw/edit?usp=sharing"",""กาญจนบุรี!J491"")"),0)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7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IFERROR(__xludf.DUMMYFUNCTION("IMPORTRANGE(""https://docs.google.com/spreadsheets/d/1SX6NBoVAgQJ6U1MVXOaj8PK2l7WJ3RER9xtqwdhxkhw/edit?usp=sharing"",""กาญจนบุรี!L494"")"),18300)</f>
        <v>18300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1.7486338797814207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IFERROR(__xludf.DUMMYFUNCTION("IMPORTRANGE(""https://docs.google.com/spreadsheets/d/1SX6NBoVAgQJ6U1MVXOaj8PK2l7WJ3RER9xtqwdhxkhw/edit?usp=sharing"",""กาญจนบุรี!L496"")"),18300)</f>
        <v>18300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1.7486338797814207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IFERROR(__xludf.DUMMYFUNCTION("IMPORTRANGE(""https://docs.google.com/spreadsheets/d/1SX6NBoVAgQJ6U1MVXOaj8PK2l7WJ3RER9xtqwdhxkhw/edit?usp=sharing"",""กาญจนบุรี!I523"")"),1500000)</f>
        <v>1500000</v>
      </c>
      <c r="J628" s="341">
        <f ca="1">IFERROR(__xludf.DUMMYFUNCTION("IMPORTRANGE(""https://docs.google.com/spreadsheets/d/1SX6NBoVAgQJ6U1MVXOaj8PK2l7WJ3RER9xtqwdhxkhw/edit?usp=sharing"",""กาญจนบุรี!J523"")"),1519585.2)</f>
        <v>1519585.2</v>
      </c>
      <c r="K628" s="342">
        <f t="shared" ref="K628:K635" ca="1" si="129">IF(I628&gt;0,J628*100/I628,0)</f>
        <v>101.30568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IFERROR(__xludf.DUMMYFUNCTION("IMPORTRANGE(""https://docs.google.com/spreadsheets/d/1SX6NBoVAgQJ6U1MVXOaj8PK2l7WJ3RER9xtqwdhxkhw/edit?usp=sharing"",""กาญจนบุรี!I524"")"),50)</f>
        <v>50</v>
      </c>
      <c r="J629" s="341">
        <f ca="1">IFERROR(__xludf.DUMMYFUNCTION("IMPORTRANGE(""https://docs.google.com/spreadsheets/d/1SX6NBoVAgQJ6U1MVXOaj8PK2l7WJ3RER9xtqwdhxkhw/edit?usp=sharing"",""กาญจนบุรี!J524"")"),54)</f>
        <v>54</v>
      </c>
      <c r="K629" s="342">
        <f t="shared" ca="1" si="129"/>
        <v>108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1">
        <f ca="1">IFERROR(__xludf.DUMMYFUNCTION("IMPORTRANGE(""https://docs.google.com/spreadsheets/d/1SX6NBoVAgQJ6U1MVXOaj8PK2l7WJ3RER9xtqwdhxkhw/edit?usp=sharing"",""กาญจนบุรี!J525"")"),1095491.61)</f>
        <v>1095491.6100000001</v>
      </c>
      <c r="K630" s="342">
        <f t="shared" ca="1" si="129"/>
        <v>5.2415389075712042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IFERROR(__xludf.DUMMYFUNCTION("IMPORTRANGE(""https://docs.google.com/spreadsheets/d/1SX6NBoVAgQJ6U1MVXOaj8PK2l7WJ3RER9xtqwdhxkhw/edit?usp=sharing"",""กาญจนบุรี!I526"")"),734)</f>
        <v>734</v>
      </c>
      <c r="J631" s="341">
        <f ca="1">IFERROR(__xludf.DUMMYFUNCTION("IMPORTRANGE(""https://docs.google.com/spreadsheets/d/1SX6NBoVAgQJ6U1MVXOaj8PK2l7WJ3RER9xtqwdhxkhw/edit?usp=sharing"",""กาญจนบุรี!J526"")"),110)</f>
        <v>110</v>
      </c>
      <c r="K631" s="342">
        <f t="shared" ca="1" si="129"/>
        <v>14.986376021798366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1">
        <f ca="1">IFERROR(__xludf.DUMMYFUNCTION("IMPORTRANGE(""https://docs.google.com/spreadsheets/d/1SX6NBoVAgQJ6U1MVXOaj8PK2l7WJ3RER9xtqwdhxkhw/edit?usp=sharing"",""กาญจนบุรี!J527"")"),99445.77)</f>
        <v>99445.77</v>
      </c>
      <c r="K632" s="342">
        <f t="shared" ca="1" si="129"/>
        <v>16.346918356466645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IFERROR(__xludf.DUMMYFUNCTION("IMPORTRANGE(""https://docs.google.com/spreadsheets/d/1SX6NBoVAgQJ6U1MVXOaj8PK2l7WJ3RER9xtqwdhxkhw/edit?usp=sharing"",""กาญจนบุรี!I528"")"),179)</f>
        <v>179</v>
      </c>
      <c r="J633" s="341">
        <f ca="1">IFERROR(__xludf.DUMMYFUNCTION("IMPORTRANGE(""https://docs.google.com/spreadsheets/d/1SX6NBoVAgQJ6U1MVXOaj8PK2l7WJ3RER9xtqwdhxkhw/edit?usp=sharing"",""กาญจนบุรี!J528"")"),12)</f>
        <v>12</v>
      </c>
      <c r="K633" s="342">
        <f t="shared" ca="1" si="129"/>
        <v>6.7039106145251397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IFERROR(__xludf.DUMMYFUNCTION("IMPORTRANGE(""https://docs.google.com/spreadsheets/d/1SX6NBoVAgQJ6U1MVXOaj8PK2l7WJ3RER9xtqwdhxkhw/edit?usp=sharing"",""กาญจนบุรี!I529"")"),2100000)</f>
        <v>2100000</v>
      </c>
      <c r="J634" s="341">
        <f ca="1">IFERROR(__xludf.DUMMYFUNCTION("IMPORTRANGE(""https://docs.google.com/spreadsheets/d/1SX6NBoVAgQJ6U1MVXOaj8PK2l7WJ3RER9xtqwdhxkhw/edit?usp=sharing"",""กาญจนบุรี!J529"")"),300000)</f>
        <v>300000</v>
      </c>
      <c r="K634" s="342">
        <f t="shared" ca="1" si="129"/>
        <v>14.285714285714286</v>
      </c>
      <c r="L634" s="342"/>
      <c r="M634" s="342"/>
      <c r="N634" s="342"/>
      <c r="O634" s="169"/>
      <c r="P634" s="169"/>
    </row>
    <row r="635" spans="1:16" ht="21.75" customHeight="1" x14ac:dyDescent="0.25">
      <c r="A635" s="555"/>
      <c r="B635" s="556"/>
      <c r="C635" s="556"/>
      <c r="D635" s="557"/>
      <c r="E635" s="558"/>
      <c r="F635" s="558"/>
      <c r="G635" s="559"/>
      <c r="H635" s="503" t="s">
        <v>37</v>
      </c>
      <c r="I635" s="504">
        <f ca="1">IFERROR(__xludf.DUMMYFUNCTION("IMPORTRANGE(""https://docs.google.com/spreadsheets/d/1SX6NBoVAgQJ6U1MVXOaj8PK2l7WJ3RER9xtqwdhxkhw/edit?usp=sharing"",""กาญจนบุรี!I530"")"),70)</f>
        <v>70</v>
      </c>
      <c r="J635" s="504">
        <f ca="1">IFERROR(__xludf.DUMMYFUNCTION("IMPORTRANGE(""https://docs.google.com/spreadsheets/d/1SX6NBoVAgQJ6U1MVXOaj8PK2l7WJ3RER9xtqwdhxkhw/edit?usp=sharing"",""กาญจนบุรี!J530"")"),10)</f>
        <v>10</v>
      </c>
      <c r="K635" s="486">
        <f t="shared" ca="1" si="129"/>
        <v>14.285714285714286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IFERROR(__xludf.DUMMYFUNCTION("IMPORTRANGE(""https://docs.google.com/spreadsheets/d/1SX6NBoVAgQJ6U1MVXOaj8PK2l7WJ3RER9xtqwdhxkhw/edit#gid=346597447"",""กาญจนบุรี!J541"")"),0)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IFERROR(__xludf.DUMMYFUNCTION("IMPORTRANGE(""https://docs.google.com/spreadsheets/d/1SX6NBoVAgQJ6U1MVXOaj8PK2l7WJ3RER9xtqwdhxkhw/edit#gid=346597447"",""กาญจนบุรี!J542"")"),0)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IFERROR(__xludf.DUMMYFUNCTION("IMPORTRANGE(""https://docs.google.com/spreadsheets/d/1SX6NBoVAgQJ6U1MVXOaj8PK2l7WJ3RER9xtqwdhxkhw/edit#gid=346597447"",""กาญจนบุรี!I543"")"),0)</f>
        <v>0</v>
      </c>
      <c r="J648" s="536">
        <f ca="1">IFERROR(__xludf.DUMMYFUNCTION("IMPORTRANGE(""https://docs.google.com/spreadsheets/d/1SX6NBoVAgQJ6U1MVXOaj8PK2l7WJ3RER9xtqwdhxkhw/edit#gid=346597447"",""กาญจนบุรี!J543"")"),0)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IFERROR(__xludf.DUMMYFUNCTION("IMPORTRANGE(""https://docs.google.com/spreadsheets/d/1SX6NBoVAgQJ6U1MVXOaj8PK2l7WJ3RER9xtqwdhxkhw/edit#gid=346597447"",""กาญจนบุรี!L543"")"),0)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IFERROR(__xludf.DUMMYFUNCTION("IMPORTRANGE(""https://docs.google.com/spreadsheets/d/1SX6NBoVAgQJ6U1MVXOaj8PK2l7WJ3RER9xtqwdhxkhw/edit#gid=346597447"",""กาญจนบุรี!M543"")"),0)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IFERROR(__xludf.DUMMYFUNCTION("IMPORTRANGE(""https://docs.google.com/spreadsheets/d/1SX6NBoVAgQJ6U1MVXOaj8PK2l7WJ3RER9xtqwdhxkhw/edit#gid=346597447"",""กาญจนบุรี!I544"")"),0)</f>
        <v>0</v>
      </c>
      <c r="J649" s="536">
        <f ca="1">IFERROR(__xludf.DUMMYFUNCTION("IMPORTRANGE(""https://docs.google.com/spreadsheets/d/1SX6NBoVAgQJ6U1MVXOaj8PK2l7WJ3RER9xtqwdhxkhw/edit#gid=346597447"",""กาญจนบุรี!J544"")"),0)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IFERROR(__xludf.DUMMYFUNCTION("IMPORTRANGE(""https://docs.google.com/spreadsheets/d/1SX6NBoVAgQJ6U1MVXOaj8PK2l7WJ3RER9xtqwdhxkhw/edit#gid=346597447"",""กาญจนบุรี!L544"")"),0)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IFERROR(__xludf.DUMMYFUNCTION("IMPORTRANGE(""https://docs.google.com/spreadsheets/d/1SX6NBoVAgQJ6U1MVXOaj8PK2l7WJ3RER9xtqwdhxkhw/edit#gid=346597447"",""กาญจนบุรี!M544"")"),0)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IFERROR(__xludf.DUMMYFUNCTION("IMPORTRANGE(""https://docs.google.com/spreadsheets/d/1SX6NBoVAgQJ6U1MVXOaj8PK2l7WJ3RER9xtqwdhxkhw/edit#gid=346597447"",""กาญจนบุรี!I545"")"),0)</f>
        <v>0</v>
      </c>
      <c r="J650" s="536">
        <f ca="1">IFERROR(__xludf.DUMMYFUNCTION("IMPORTRANGE(""https://docs.google.com/spreadsheets/d/1SX6NBoVAgQJ6U1MVXOaj8PK2l7WJ3RER9xtqwdhxkhw/edit#gid=346597447"",""กาญจนบุรี!J545"")"),0)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IFERROR(__xludf.DUMMYFUNCTION("IMPORTRANGE(""https://docs.google.com/spreadsheets/d/1SX6NBoVAgQJ6U1MVXOaj8PK2l7WJ3RER9xtqwdhxkhw/edit#gid=346597447"",""กาญจนบุรี!L545"")"),0)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IFERROR(__xludf.DUMMYFUNCTION("IMPORTRANGE(""https://docs.google.com/spreadsheets/d/1SX6NBoVAgQJ6U1MVXOaj8PK2l7WJ3RER9xtqwdhxkhw/edit#gid=346597447"",""กาญจนบุรี!M545"")"),0)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IFERROR(__xludf.DUMMYFUNCTION("IMPORTRANGE(""https://docs.google.com/spreadsheets/d/1SX6NBoVAgQJ6U1MVXOaj8PK2l7WJ3RER9xtqwdhxkhw/edit#gid=346597447"",""กาญจนบุรี!I546"")"),0)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IFERROR(__xludf.DUMMYFUNCTION("IMPORTRANGE(""https://docs.google.com/spreadsheets/d/1SX6NBoVAgQJ6U1MVXOaj8PK2l7WJ3RER9xtqwdhxkhw/edit#gid=346597447"",""กาญจนบุรี!L546"")"),0)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IFERROR(__xludf.DUMMYFUNCTION("IMPORTRANGE(""https://docs.google.com/spreadsheets/d/1SX6NBoVAgQJ6U1MVXOaj8PK2l7WJ3RER9xtqwdhxkhw/edit#gid=346597447"",""กาญจนบุรี!M546"")"),0)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IFERROR(__xludf.DUMMYFUNCTION("IMPORTRANGE(""https://docs.google.com/spreadsheets/d/1SX6NBoVAgQJ6U1MVXOaj8PK2l7WJ3RER9xtqwdhxkhw/edit#gid=346597447"",""กาญจนบุรี!J547"")"),0)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IFERROR(__xludf.DUMMYFUNCTION("IMPORTRANGE(""https://docs.google.com/spreadsheets/d/1SX6NBoVAgQJ6U1MVXOaj8PK2l7WJ3RER9xtqwdhxkhw/edit#gid=346597447"",""กาญจนบุรี!J548"")"),0)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IFERROR(__xludf.DUMMYFUNCTION("IMPORTRANGE(""https://docs.google.com/spreadsheets/d/1SX6NBoVAgQJ6U1MVXOaj8PK2l7WJ3RER9xtqwdhxkhw/edit#gid=346597447"",""กาญจนบุรี!J550"")"),0)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IFERROR(__xludf.DUMMYFUNCTION("IMPORTRANGE(""https://docs.google.com/spreadsheets/d/1SX6NBoVAgQJ6U1MVXOaj8PK2l7WJ3RER9xtqwdhxkhw/edit#gid=346597447"",""กาญจนบุรี!J551"")"),0)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IFERROR(__xludf.DUMMYFUNCTION("IMPORTRANGE(""https://docs.google.com/spreadsheets/d/1SX6NBoVAgQJ6U1MVXOaj8PK2l7WJ3RER9xtqwdhxkhw/edit#gid=346597447"",""กาญจนบุรี!J552"")"),0)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IFERROR(__xludf.DUMMYFUNCTION("IMPORTRANGE(""https://docs.google.com/spreadsheets/d/1SX6NBoVAgQJ6U1MVXOaj8PK2l7WJ3RER9xtqwdhxkhw/edit#gid=346597447"",""กาญจนบุรี!J553"")"),0)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IFERROR(__xludf.DUMMYFUNCTION("IMPORTRANGE(""https://docs.google.com/spreadsheets/d/1SX6NBoVAgQJ6U1MVXOaj8PK2l7WJ3RER9xtqwdhxkhw/edit#gid=346597447"",""กาญจนบุรี!J554"")"),0)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IFERROR(__xludf.DUMMYFUNCTION("IMPORTRANGE(""https://docs.google.com/spreadsheets/d/1SX6NBoVAgQJ6U1MVXOaj8PK2l7WJ3RER9xtqwdhxkhw/edit#gid=346597447"",""กาญจนบุรี!J555"")"),0)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IFERROR(__xludf.DUMMYFUNCTION("IMPORTRANGE(""https://docs.google.com/spreadsheets/d/1SX6NBoVAgQJ6U1MVXOaj8PK2l7WJ3RER9xtqwdhxkhw/edit#gid=346597447"",""กาญจนบุรี!J556"")"),0)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IFERROR(__xludf.DUMMYFUNCTION("IMPORTRANGE(""https://docs.google.com/spreadsheets/d/1SX6NBoVAgQJ6U1MVXOaj8PK2l7WJ3RER9xtqwdhxkhw/edit#gid=346597447"",""กาญจนบุรี!L556"")"),0)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IFERROR(__xludf.DUMMYFUNCTION("IMPORTRANGE(""https://docs.google.com/spreadsheets/d/1SX6NBoVAgQJ6U1MVXOaj8PK2l7WJ3RER9xtqwdhxkhw/edit#gid=346597447"",""กาญจนบุรี!M556"")"),0)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IFERROR(__xludf.DUMMYFUNCTION("IMPORTRANGE(""https://docs.google.com/spreadsheets/d/1SX6NBoVAgQJ6U1MVXOaj8PK2l7WJ3RER9xtqwdhxkhw/edit#gid=346597447"",""กาญจนบุรี!J557"")"),0)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IFERROR(__xludf.DUMMYFUNCTION("IMPORTRANGE(""https://docs.google.com/spreadsheets/d/1SX6NBoVAgQJ6U1MVXOaj8PK2l7WJ3RER9xtqwdhxkhw/edit#gid=346597447"",""กาญจนบุรี!I558"")"),0)</f>
        <v>0</v>
      </c>
      <c r="J663" s="536">
        <f ca="1">IFERROR(__xludf.DUMMYFUNCTION("IMPORTRANGE(""https://docs.google.com/spreadsheets/d/1SX6NBoVAgQJ6U1MVXOaj8PK2l7WJ3RER9xtqwdhxkhw/edit#gid=346597447"",""กาญจนบุรี!J558"")"),0)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IFERROR(__xludf.DUMMYFUNCTION("IMPORTRANGE(""https://docs.google.com/spreadsheets/d/1SX6NBoVAgQJ6U1MVXOaj8PK2l7WJ3RER9xtqwdhxkhw/edit#gid=346597447"",""กาญจนบุรี!I560"")"),0)</f>
        <v>0</v>
      </c>
      <c r="J665" s="536">
        <f ca="1">IFERROR(__xludf.DUMMYFUNCTION("IMPORTRANGE(""https://docs.google.com/spreadsheets/d/1SX6NBoVAgQJ6U1MVXOaj8PK2l7WJ3RER9xtqwdhxkhw/edit#gid=346597447"",""กาญจนบุรี!J560"")"),0)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IFERROR(__xludf.DUMMYFUNCTION("IMPORTRANGE(""https://docs.google.com/spreadsheets/d/1SX6NBoVAgQJ6U1MVXOaj8PK2l7WJ3RER9xtqwdhxkhw/edit#gid=346597447"",""กาญจนบุรี!L560"")"),0)</f>
        <v>0</v>
      </c>
      <c r="M665" s="521"/>
      <c r="N665" s="538">
        <f ca="1">IFERROR(__xludf.DUMMYFUNCTION("IMPORTRANGE(""https://docs.google.com/spreadsheets/d/1SX6NBoVAgQJ6U1MVXOaj8PK2l7WJ3RER9xtqwdhxkhw/edit#gid=346597447"",""กาญจนบุรี!M560"")"),0)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IFERROR(__xludf.DUMMYFUNCTION("IMPORTRANGE(""https://docs.google.com/spreadsheets/d/1SX6NBoVAgQJ6U1MVXOaj8PK2l7WJ3RER9xtqwdhxkhw/edit#gid=346597447"",""กาญจนบุรี!J561"")"),0)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IFERROR(__xludf.DUMMYFUNCTION("IMPORTRANGE(""https://docs.google.com/spreadsheets/d/1SX6NBoVAgQJ6U1MVXOaj8PK2l7WJ3RER9xtqwdhxkhw/edit#gid=346597447"",""กาญจนบุรี!J562"")"),0)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IFERROR(__xludf.DUMMYFUNCTION("IMPORTRANGE(""https://docs.google.com/spreadsheets/d/1SX6NBoVAgQJ6U1MVXOaj8PK2l7WJ3RER9xtqwdhxkhw/edit#gid=346597447"",""กาญจนบุรี!I563"")"),0)</f>
        <v>0</v>
      </c>
      <c r="J668" s="536">
        <f ca="1">IFERROR(__xludf.DUMMYFUNCTION("IMPORTRANGE(""https://docs.google.com/spreadsheets/d/1SX6NBoVAgQJ6U1MVXOaj8PK2l7WJ3RER9xtqwdhxkhw/edit#gid=346597447"",""กาญจนบุรี!J563"")"),0)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IFERROR(__xludf.DUMMYFUNCTION("IMPORTRANGE(""https://docs.google.com/spreadsheets/d/1SX6NBoVAgQJ6U1MVXOaj8PK2l7WJ3RER9xtqwdhxkhw/edit#gid=346597447"",""กาญจนบุรี!L563"")"),0)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IFERROR(__xludf.DUMMYFUNCTION("IMPORTRANGE(""https://docs.google.com/spreadsheets/d/1SX6NBoVAgQJ6U1MVXOaj8PK2l7WJ3RER9xtqwdhxkhw/edit#gid=346597447"",""กาญจนบุรี!M563"")"),0)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IFERROR(__xludf.DUMMYFUNCTION("IMPORTRANGE(""https://docs.google.com/spreadsheets/d/1SX6NBoVAgQJ6U1MVXOaj8PK2l7WJ3RER9xtqwdhxkhw/edit#gid=346597447"",""กาญจนบุรี!J564"")"),0)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IFERROR(__xludf.DUMMYFUNCTION("IMPORTRANGE(""https://docs.google.com/spreadsheets/d/1SX6NBoVAgQJ6U1MVXOaj8PK2l7WJ3RER9xtqwdhxkhw/edit#gid=346597447"",""กาญจนบุรี!J565"")"),0)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IFERROR(__xludf.DUMMYFUNCTION("IMPORTRANGE(""https://docs.google.com/spreadsheets/d/1SX6NBoVAgQJ6U1MVXOaj8PK2l7WJ3RER9xtqwdhxkhw/edit#gid=346597447"",""กาญจนบุรี!I566"")"),0)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IFERROR(__xludf.DUMMYFUNCTION("IMPORTRANGE(""https://docs.google.com/spreadsheets/d/1SX6NBoVAgQJ6U1MVXOaj8PK2l7WJ3RER9xtqwdhxkhw/edit#gid=346597447"",""กาญจนบุรี!L566"")"),0)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IFERROR(__xludf.DUMMYFUNCTION("IMPORTRANGE(""https://docs.google.com/spreadsheets/d/1SX6NBoVAgQJ6U1MVXOaj8PK2l7WJ3RER9xtqwdhxkhw/edit#gid=346597447"",""กาญจนบุรี!M566"")"),0)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IFERROR(__xludf.DUMMYFUNCTION("IMPORTRANGE(""https://docs.google.com/spreadsheets/d/1SX6NBoVAgQJ6U1MVXOaj8PK2l7WJ3RER9xtqwdhxkhw/edit#gid=346597447"",""กาญจนบุรี!J567"")"),0)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IFERROR(__xludf.DUMMYFUNCTION("IMPORTRANGE(""https://docs.google.com/spreadsheets/d/1SX6NBoVAgQJ6U1MVXOaj8PK2l7WJ3RER9xtqwdhxkhw/edit#gid=346597447"",""กาญจนบุรี!J568"")"),0)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IFERROR(__xludf.DUMMYFUNCTION("IMPORTRANGE(""https://docs.google.com/spreadsheets/d/1SX6NBoVAgQJ6U1MVXOaj8PK2l7WJ3RER9xtqwdhxkhw/edit#gid=346597447"",""กาญจนบุรี!J569"")"),0)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IFERROR(__xludf.DUMMYFUNCTION("IMPORTRANGE(""https://docs.google.com/spreadsheets/d/1SX6NBoVAgQJ6U1MVXOaj8PK2l7WJ3RER9xtqwdhxkhw/edit#gid=346597447"",""กาญจนบุรี!J570"")"),0)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IFERROR(__xludf.DUMMYFUNCTION("IMPORTRANGE(""https://docs.google.com/spreadsheets/d/1SX6NBoVAgQJ6U1MVXOaj8PK2l7WJ3RER9xtqwdhxkhw/edit#gid=346597447"",""กาญจนบุรี!J571"")"),0)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IFERROR(__xludf.DUMMYFUNCTION("IMPORTRANGE(""https://docs.google.com/spreadsheets/d/1SX6NBoVAgQJ6U1MVXOaj8PK2l7WJ3RER9xtqwdhxkhw/edit#gid=346597447"",""กาญจนบุรี!J572"")"),0)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2229095</v>
      </c>
      <c r="M8" s="23">
        <f t="shared" ca="1" si="0"/>
        <v>1470782</v>
      </c>
      <c r="N8" s="23">
        <f t="shared" ca="1" si="0"/>
        <v>1450876.24</v>
      </c>
      <c r="O8" s="22">
        <f t="shared" ref="O8:O16" ca="1" si="1">IF(L8&gt;0,N8*100/L8,0)</f>
        <v>65.088129487527453</v>
      </c>
      <c r="P8" s="22">
        <f t="shared" ref="P8:P16" ca="1" si="2">IF(M8&gt;0,N8*100/M8,0)</f>
        <v>98.646586645743554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2229095</v>
      </c>
      <c r="M10" s="30">
        <f t="shared" ca="1" si="4"/>
        <v>1470782</v>
      </c>
      <c r="N10" s="30">
        <f t="shared" ca="1" si="4"/>
        <v>1450876.24</v>
      </c>
      <c r="O10" s="29">
        <f t="shared" ca="1" si="1"/>
        <v>65.088129487527453</v>
      </c>
      <c r="P10" s="29">
        <f t="shared" ca="1" si="2"/>
        <v>98.646586645743554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2094095</v>
      </c>
      <c r="M12" s="38">
        <f t="shared" ca="1" si="6"/>
        <v>1335782</v>
      </c>
      <c r="N12" s="38">
        <f t="shared" ca="1" si="6"/>
        <v>1315876.24</v>
      </c>
      <c r="O12" s="38">
        <f t="shared" ca="1" si="1"/>
        <v>62.837466304059745</v>
      </c>
      <c r="P12" s="38">
        <f t="shared" ca="1" si="2"/>
        <v>98.509804743588404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416195</v>
      </c>
      <c r="M14" s="38">
        <f t="shared" si="8"/>
        <v>0</v>
      </c>
      <c r="N14" s="38">
        <f t="shared" ca="1" si="8"/>
        <v>175369.66</v>
      </c>
      <c r="O14" s="38">
        <f t="shared" ca="1" si="1"/>
        <v>42.136416823844591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135000</v>
      </c>
      <c r="M16" s="38">
        <f t="shared" ca="1" si="10"/>
        <v>135000</v>
      </c>
      <c r="N16" s="38">
        <f t="shared" ca="1" si="10"/>
        <v>135000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1904865</v>
      </c>
      <c r="M18" s="23">
        <f t="shared" ca="1" si="11"/>
        <v>1470782</v>
      </c>
      <c r="N18" s="23">
        <f t="shared" ca="1" si="11"/>
        <v>1275506.58</v>
      </c>
      <c r="O18" s="22">
        <f t="shared" ref="O18:O20" ca="1" si="12">IF(L18&gt;0,N18*100/L18,0)</f>
        <v>66.960471214495513</v>
      </c>
      <c r="P18" s="22">
        <f t="shared" ref="P18:P26" ca="1" si="13">IF(M18&gt;0,N18*100/M18,0)</f>
        <v>86.723020814777442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1904865</v>
      </c>
      <c r="M20" s="30">
        <f t="shared" ca="1" si="15"/>
        <v>1470782</v>
      </c>
      <c r="N20" s="30">
        <f t="shared" ca="1" si="15"/>
        <v>1275506.58</v>
      </c>
      <c r="O20" s="29">
        <f t="shared" ca="1" si="12"/>
        <v>66.960471214495513</v>
      </c>
      <c r="P20" s="29">
        <f t="shared" ca="1" si="13"/>
        <v>86.723020814777442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1335782</v>
      </c>
      <c r="N22" s="38">
        <f t="shared" ca="1" si="18"/>
        <v>1140506.58</v>
      </c>
      <c r="O22" s="38">
        <f t="shared" ca="1" si="17"/>
        <v>64.440314939275027</v>
      </c>
      <c r="P22" s="38">
        <f t="shared" ca="1" si="13"/>
        <v>85.381190942833484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135000</v>
      </c>
      <c r="M26" s="49">
        <f t="shared" ca="1" si="22"/>
        <v>135000</v>
      </c>
      <c r="N26" s="49">
        <f t="shared" ca="1" si="22"/>
        <v>135000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324230</v>
      </c>
      <c r="M28" s="23">
        <f t="shared" si="23"/>
        <v>0</v>
      </c>
      <c r="N28" s="23">
        <f t="shared" ca="1" si="23"/>
        <v>175369.66</v>
      </c>
      <c r="O28" s="22">
        <f t="shared" ref="O28:O30" ca="1" si="24">IF(L28&gt;0,N28*100/L28,0)</f>
        <v>54.088042439009342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324230</v>
      </c>
      <c r="M30" s="30">
        <f t="shared" si="27"/>
        <v>0</v>
      </c>
      <c r="N30" s="30">
        <f t="shared" ca="1" si="27"/>
        <v>175369.66</v>
      </c>
      <c r="O30" s="29">
        <f t="shared" ca="1" si="24"/>
        <v>54.088042439009342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324230</v>
      </c>
      <c r="M32" s="38">
        <f t="shared" si="30"/>
        <v>0</v>
      </c>
      <c r="N32" s="38">
        <f t="shared" ca="1" si="30"/>
        <v>175369.66</v>
      </c>
      <c r="O32" s="38">
        <f t="shared" ca="1" si="29"/>
        <v>54.088042439009342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324230</v>
      </c>
      <c r="M34" s="38">
        <f t="shared" si="32"/>
        <v>0</v>
      </c>
      <c r="N34" s="38">
        <f t="shared" ca="1" si="32"/>
        <v>175369.66</v>
      </c>
      <c r="O34" s="38">
        <f t="shared" ca="1" si="29"/>
        <v>54.088042439009342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1904865</v>
      </c>
      <c r="M37" s="54">
        <f t="shared" ca="1" si="33"/>
        <v>1470782</v>
      </c>
      <c r="N37" s="54">
        <f t="shared" ca="1" si="33"/>
        <v>1275506.58</v>
      </c>
      <c r="O37" s="55">
        <f t="shared" ca="1" si="29"/>
        <v>66.960471214495513</v>
      </c>
      <c r="P37" s="55">
        <f t="shared" ca="1" si="25"/>
        <v>86.723020814777442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663100</v>
      </c>
      <c r="N41" s="78">
        <f t="shared" ca="1" si="34"/>
        <v>596225.17000000004</v>
      </c>
      <c r="O41" s="77">
        <f t="shared" ref="O41:O43" ca="1" si="35">IF(L41&gt;0,N41*100/L41,0)</f>
        <v>67.438657391697774</v>
      </c>
      <c r="P41" s="77">
        <f t="shared" ref="P41:P43" ca="1" si="36">IF(M41&gt;0,N41*100/M41,0)</f>
        <v>89.914819785854334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663100</v>
      </c>
      <c r="N43" s="78">
        <f t="shared" ca="1" si="38"/>
        <v>596225.17000000004</v>
      </c>
      <c r="O43" s="77">
        <f t="shared" ca="1" si="35"/>
        <v>67.438657391697774</v>
      </c>
      <c r="P43" s="77">
        <f t="shared" ca="1" si="36"/>
        <v>89.914819785854334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IFERROR(__xludf.DUMMYFUNCTION("IMPORTRANGE(""https://docs.google.com/spreadsheets/d/1Yj_ptqi66GCucihVvJfMjLAmec39IyEx_6qawtMGysU/edit?usp=sharing"",""สบก!Q77"")"),663100)</f>
        <v>663100</v>
      </c>
      <c r="N45" s="49">
        <f ca="1">IFERROR(__xludf.DUMMYFUNCTION("IMPORTRANGE(""https://docs.google.com/spreadsheets/d/1Yj_ptqi66GCucihVvJfMjLAmec39IyEx_6qawtMGysU/edit?usp=sharing"",""สบก!R77"")"),596225.17)</f>
        <v>596225.17000000004</v>
      </c>
      <c r="O45" s="38">
        <f ca="1">IF(L45&gt;0,N45*100/L45,0)</f>
        <v>67.438657391697774</v>
      </c>
      <c r="P45" s="38">
        <f ca="1">IF(M45&gt;0,N45*100/M45,0)</f>
        <v>89.914819785854334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239472</v>
      </c>
      <c r="N53" s="121">
        <f t="shared" ca="1" si="39"/>
        <v>203631</v>
      </c>
      <c r="O53" s="120">
        <f t="shared" ref="O53:O55" ca="1" si="40">IF(L53&gt;0,N53*100/L53,0)</f>
        <v>67.876999999999995</v>
      </c>
      <c r="P53" s="120">
        <f t="shared" ref="P53:P55" ca="1" si="41">IF(M53&gt;0,N53*100/M53,0)</f>
        <v>85.033323311284832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239472</v>
      </c>
      <c r="N55" s="121">
        <f t="shared" ca="1" si="43"/>
        <v>203631</v>
      </c>
      <c r="O55" s="120">
        <f t="shared" ca="1" si="40"/>
        <v>67.876999999999995</v>
      </c>
      <c r="P55" s="120">
        <f t="shared" ca="1" si="41"/>
        <v>85.033323311284832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IFERROR(__xludf.DUMMYFUNCTION("IMPORTRANGE(""https://docs.google.com/spreadsheets/d/1Yj_ptqi66GCucihVvJfMjLAmec39IyEx_6qawtMGysU/edit?usp=sharing"",""สบก!Z77"")"),239472)</f>
        <v>239472</v>
      </c>
      <c r="N57" s="49">
        <f ca="1">IFERROR(__xludf.DUMMYFUNCTION("IMPORTRANGE(""https://docs.google.com/spreadsheets/d/1Yj_ptqi66GCucihVvJfMjLAmec39IyEx_6qawtMGysU/edit?usp=sharing"",""สบก!AA77"")"),203631)</f>
        <v>203631</v>
      </c>
      <c r="O57" s="38">
        <f ca="1">IF(L57&gt;0,N57*100/L57,0)</f>
        <v>67.876999999999995</v>
      </c>
      <c r="P57" s="38">
        <f ca="1">IF(M57&gt;0,N57*100/M57,0)</f>
        <v>85.033323311284832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IFERROR(__xludf.DUMMYFUNCTION("IMPORTRANGE(""https://docs.google.com/spreadsheets/d/1SX6NBoVAgQJ6U1MVXOaj8PK2l7WJ3RER9xtqwdhxkhw/edit?usp=sharing"",""สิงห์บุรี!J50"")"),0)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297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IFERROR(__xludf.DUMMYFUNCTION("IMPORTRANGE(""https://docs.google.com/spreadsheets/d/1SX6NBoVAgQJ6U1MVXOaj8PK2l7WJ3RER9xtqwdhxkhw/edit?usp=sharing"",""สิงห์บุรี!J65"")"),0)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IFERROR(__xludf.DUMMYFUNCTION("IMPORTRANGE(""https://docs.google.com/spreadsheets/d/1SX6NBoVAgQJ6U1MVXOaj8PK2l7WJ3RER9xtqwdhxkhw/edit?usp=sharing"",""สิงห์บุรี!I68"")"),0)</f>
        <v>0</v>
      </c>
      <c r="J138" s="267">
        <f ca="1">IFERROR(__xludf.DUMMYFUNCTION("IMPORTRANGE(""https://docs.google.com/spreadsheets/d/1SX6NBoVAgQJ6U1MVXOaj8PK2l7WJ3RER9xtqwdhxkhw/edit?usp=sharing"",""สิงห์บุรี!J68"")"),0)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19625</v>
      </c>
      <c r="N140" s="152">
        <f t="shared" ca="1" si="64"/>
        <v>15500</v>
      </c>
      <c r="O140" s="151">
        <f t="shared" ref="O140:O142" ca="1" si="65">IF(L140&gt;0,N140*100/L140,0)</f>
        <v>54.00696864111498</v>
      </c>
      <c r="P140" s="151">
        <f t="shared" ref="P140:P142" ca="1" si="66">IF(M140&gt;0,N140*100/M140,0)</f>
        <v>78.980891719745216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19625</v>
      </c>
      <c r="N142" s="157">
        <f t="shared" ca="1" si="68"/>
        <v>15500</v>
      </c>
      <c r="O142" s="156">
        <f t="shared" ca="1" si="65"/>
        <v>54.00696864111498</v>
      </c>
      <c r="P142" s="156">
        <f t="shared" ca="1" si="66"/>
        <v>78.980891719745216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IFERROR(__xludf.DUMMYFUNCTION("IMPORTRANGE(""https://docs.google.com/spreadsheets/d/1Yj_ptqi66GCucihVvJfMjLAmec39IyEx_6qawtMGysU/edit?usp=sharing"",""สบก!BJ77"")"),19625)</f>
        <v>19625</v>
      </c>
      <c r="N144" s="169">
        <f ca="1">IFERROR(__xludf.DUMMYFUNCTION("IMPORTRANGE(""https://docs.google.com/spreadsheets/d/1Yj_ptqi66GCucihVvJfMjLAmec39IyEx_6qawtMGysU/edit?usp=sharing"",""สบก!BK77"")"),15500)</f>
        <v>15500</v>
      </c>
      <c r="O144" s="169">
        <f ca="1">IF(L144&gt;0,N144*100/L144,0)</f>
        <v>54.00696864111498</v>
      </c>
      <c r="P144" s="169">
        <f ca="1">IF(M144&gt;0,N144*100/M144,0)</f>
        <v>78.980891719745216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IFERROR(__xludf.DUMMYFUNCTION("IMPORTRANGE(""https://docs.google.com/spreadsheets/d/1SX6NBoVAgQJ6U1MVXOaj8PK2l7WJ3RER9xtqwdhxkhw/edit?usp=sharing"",""สิงห์บุรี!I74"")"),4)</f>
        <v>4</v>
      </c>
      <c r="J149" s="275">
        <f ca="1">IFERROR(__xludf.DUMMYFUNCTION("IMPORTRANGE(""https://docs.google.com/spreadsheets/d/1SX6NBoVAgQJ6U1MVXOaj8PK2l7WJ3RER9xtqwdhxkhw/edit?usp=sharing"",""สิงห์บุรี!J74"")"),2)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IFERROR(__xludf.DUMMYFUNCTION("IMPORTRANGE(""https://docs.google.com/spreadsheets/d/1SX6NBoVAgQJ6U1MVXOaj8PK2l7WJ3RER9xtqwdhxkhw/edit?usp=sharing"",""สิงห์บุรี!J84"")"),55)</f>
        <v>55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IFERROR(__xludf.DUMMYFUNCTION("IMPORTRANGE(""https://docs.google.com/spreadsheets/d/1SX6NBoVAgQJ6U1MVXOaj8PK2l7WJ3RER9xtqwdhxkhw/edit?usp=sharing"",""สิงห์บุรี!J85"")"),55)</f>
        <v>55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IFERROR(__xludf.DUMMYFUNCTION("IMPORTRANGE(""https://docs.google.com/spreadsheets/d/1SX6NBoVAgQJ6U1MVXOaj8PK2l7WJ3RER9xtqwdhxkhw/edit?usp=sharing"",""สิงห์บุรี!J88"")"),0)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IFERROR(__xludf.DUMMYFUNCTION("IMPORTRANGE(""https://docs.google.com/spreadsheets/d/1SX6NBoVAgQJ6U1MVXOaj8PK2l7WJ3RER9xtqwdhxkhw/edit?usp=sharing"",""สิงห์บุรี!I89"")"),1)</f>
        <v>1</v>
      </c>
      <c r="J164" s="284">
        <f ca="1">IFERROR(__xludf.DUMMYFUNCTION("IMPORTRANGE(""https://docs.google.com/spreadsheets/d/1SX6NBoVAgQJ6U1MVXOaj8PK2l7WJ3RER9xtqwdhxkhw/edit?usp=sharing"",""สิงห์บุรี!J89"")"),1)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IFERROR(__xludf.DUMMYFUNCTION("IMPORTRANGE(""https://docs.google.com/spreadsheets/d/1SX6NBoVAgQJ6U1MVXOaj8PK2l7WJ3RER9xtqwdhxkhw/edit?usp=sharing"",""สิงห์บุรี!I101"")"),0)</f>
        <v>0</v>
      </c>
      <c r="J176" s="284">
        <f ca="1">IFERROR(__xludf.DUMMYFUNCTION("IMPORTRANGE(""https://docs.google.com/spreadsheets/d/1SX6NBoVAgQJ6U1MVXOaj8PK2l7WJ3RER9xtqwdhxkhw/edit?usp=sharing"",""สิงห์บุรี!J101"")"),0)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IFERROR(__xludf.DUMMYFUNCTION("IMPORTRANGE(""https://docs.google.com/spreadsheets/d/1SX6NBoVAgQJ6U1MVXOaj8PK2l7WJ3RER9xtqwdhxkhw/edit?usp=sharing"",""สิงห์บุรี!J113"")"),0)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IFERROR(__xludf.DUMMYFUNCTION("IMPORTRANGE(""https://docs.google.com/spreadsheets/d/1SX6NBoVAgQJ6U1MVXOaj8PK2l7WJ3RER9xtqwdhxkhw/edit?usp=sharing"",""สิงห์บุรี!I114"")"),8000)</f>
        <v>8000</v>
      </c>
      <c r="J189" s="284">
        <f ca="1">IFERROR(__xludf.DUMMYFUNCTION("IMPORTRANGE(""https://docs.google.com/spreadsheets/d/1SX6NBoVAgQJ6U1MVXOaj8PK2l7WJ3RER9xtqwdhxkhw/edit?usp=sharing"",""สิงห์บุรี!J114"")"),0)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IFERROR(__xludf.DUMMYFUNCTION("IMPORTRANGE(""https://docs.google.com/spreadsheets/d/1SX6NBoVAgQJ6U1MVXOaj8PK2l7WJ3RER9xtqwdhxkhw/edit?usp=sharing"",""สิงห์บุรี!J128"")"),0)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IFERROR(__xludf.DUMMYFUNCTION("IMPORTRANGE(""https://docs.google.com/spreadsheets/d/1SX6NBoVAgQJ6U1MVXOaj8PK2l7WJ3RER9xtqwdhxkhw/edit?usp=sharing"",""สิงห์บุรี!I129"")"),0)</f>
        <v>0</v>
      </c>
      <c r="J204" s="284">
        <f ca="1">IFERROR(__xludf.DUMMYFUNCTION("IMPORTRANGE(""https://docs.google.com/spreadsheets/d/1SX6NBoVAgQJ6U1MVXOaj8PK2l7WJ3RER9xtqwdhxkhw/edit?usp=sharing"",""สิงห์บุรี!J129"")"),0)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IFERROR(__xludf.DUMMYFUNCTION("IMPORTRANGE(""https://docs.google.com/spreadsheets/d/1SX6NBoVAgQJ6U1MVXOaj8PK2l7WJ3RER9xtqwdhxkhw/edit?usp=sharing"",""สิงห์บุรี!J143"")"),0)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IFERROR(__xludf.DUMMYFUNCTION("IMPORTRANGE(""https://docs.google.com/spreadsheets/d/1SX6NBoVAgQJ6U1MVXOaj8PK2l7WJ3RER9xtqwdhxkhw/edit?usp=sharing"",""สิงห์บุรี!I144"")"),13)</f>
        <v>13</v>
      </c>
      <c r="J219" s="267">
        <f ca="1">IFERROR(__xludf.DUMMYFUNCTION("IMPORTRANGE(""https://docs.google.com/spreadsheets/d/1SX6NBoVAgQJ6U1MVXOaj8PK2l7WJ3RER9xtqwdhxkhw/edit?usp=sharing"",""สิงห์บุรี!J144"")"),13)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IFERROR(__xludf.DUMMYFUNCTION("IMPORTRANGE(""https://docs.google.com/spreadsheets/d/1SX6NBoVAgQJ6U1MVXOaj8PK2l7WJ3RER9xtqwdhxkhw/edit?usp=sharing"",""สิงห์บุรี!I149"")"),13)</f>
        <v>13</v>
      </c>
      <c r="J229" s="267">
        <f ca="1">IFERROR(__xludf.DUMMYFUNCTION("IMPORTRANGE(""https://docs.google.com/spreadsheets/d/1SX6NBoVAgQJ6U1MVXOaj8PK2l7WJ3RER9xtqwdhxkhw/edit?usp=sharing"",""สิงห์บุรี!J149"")"),13)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IFERROR(__xludf.DUMMYFUNCTION("IMPORTRANGE(""https://docs.google.com/spreadsheets/d/1SX6NBoVAgQJ6U1MVXOaj8PK2l7WJ3RER9xtqwdhxkhw/edit?usp=sharing"",""สิงห์บุรี!I158"")"),0)</f>
        <v>0</v>
      </c>
      <c r="J238" s="267">
        <f ca="1">IFERROR(__xludf.DUMMYFUNCTION("IMPORTRANGE(""https://docs.google.com/spreadsheets/d/1SX6NBoVAgQJ6U1MVXOaj8PK2l7WJ3RER9xtqwdhxkhw/edit?usp=sharing"",""สิงห์บุรี!J158"")"),0)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IFERROR(__xludf.DUMMYFUNCTION("IMPORTRANGE(""https://docs.google.com/spreadsheets/d/1SX6NBoVAgQJ6U1MVXOaj8PK2l7WJ3RER9xtqwdhxkhw/edit?usp=sharing"",""สิงห์บุรี!J166"")"),0)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IFERROR(__xludf.DUMMYFUNCTION("IMPORTRANGE(""https://docs.google.com/spreadsheets/d/1SX6NBoVAgQJ6U1MVXOaj8PK2l7WJ3RER9xtqwdhxkhw/edit?usp=sharing"",""สิงห์บุรี!I169"")"),0)</f>
        <v>0</v>
      </c>
      <c r="J249" s="316">
        <f ca="1">IFERROR(__xludf.DUMMYFUNCTION("IMPORTRANGE(""https://docs.google.com/spreadsheets/d/1SX6NBoVAgQJ6U1MVXOaj8PK2l7WJ3RER9xtqwdhxkhw/edit?usp=sharing"",""สิงห์บุรี!J169"")"),0)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IFERROR(__xludf.DUMMYFUNCTION("IMPORTRANGE(""https://docs.google.com/spreadsheets/d/1SX6NBoVAgQJ6U1MVXOaj8PK2l7WJ3RER9xtqwdhxkhw/edit?usp=sharing"",""สิงห์บุรี!J184"")"),0)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IFERROR(__xludf.DUMMYFUNCTION("IMPORTRANGE(""https://docs.google.com/spreadsheets/d/1SX6NBoVAgQJ6U1MVXOaj8PK2l7WJ3RER9xtqwdhxkhw/edit?usp=sharing"",""สิงห์บุรี!I185"")"),0)</f>
        <v>0</v>
      </c>
      <c r="J270" s="316">
        <f ca="1">IFERROR(__xludf.DUMMYFUNCTION("IMPORTRANGE(""https://docs.google.com/spreadsheets/d/1SX6NBoVAgQJ6U1MVXOaj8PK2l7WJ3RER9xtqwdhxkhw/edit?usp=sharing"",""สิงห์บุรี!J185"")"),0)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IFERROR(__xludf.DUMMYFUNCTION("IMPORTRANGE(""https://docs.google.com/spreadsheets/d/1SX6NBoVAgQJ6U1MVXOaj8PK2l7WJ3RER9xtqwdhxkhw/edit?usp=sharing"",""สิงห์บุรี!I199"")"),0)</f>
        <v>0</v>
      </c>
      <c r="J289" s="316">
        <f ca="1">IFERROR(__xludf.DUMMYFUNCTION("IMPORTRANGE(""https://docs.google.com/spreadsheets/d/1SX6NBoVAgQJ6U1MVXOaj8PK2l7WJ3RER9xtqwdhxkhw/edit?usp=sharing"",""สิงห์บุรี!J199"")"),0)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IFERROR(__xludf.DUMMYFUNCTION("IMPORTRANGE(""https://docs.google.com/spreadsheets/d/1SX6NBoVAgQJ6U1MVXOaj8PK2l7WJ3RER9xtqwdhxkhw/edit?usp=sharing"",""สิงห์บุรี!J213"")"),0)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IFERROR(__xludf.DUMMYFUNCTION("IMPORTRANGE(""https://docs.google.com/spreadsheets/d/1SX6NBoVAgQJ6U1MVXOaj8PK2l7WJ3RER9xtqwdhxkhw/edit?usp=sharing"",""สิงห์บุรี!I214"")"),0)</f>
        <v>0</v>
      </c>
      <c r="J309" s="333">
        <f ca="1">IFERROR(__xludf.DUMMYFUNCTION("IMPORTRANGE(""https://docs.google.com/spreadsheets/d/1SX6NBoVAgQJ6U1MVXOaj8PK2l7WJ3RER9xtqwdhxkhw/edit?usp=sharing"",""สิงห์บุรี!J214"")"),0)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IFERROR(__xludf.DUMMYFUNCTION("IMPORTRANGE(""https://docs.google.com/spreadsheets/d/1SX6NBoVAgQJ6U1MVXOaj8PK2l7WJ3RER9xtqwdhxkhw/edit?usp=sharing"",""สิงห์บุรี!J226"")"),0)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IFERROR(__xludf.DUMMYFUNCTION("IMPORTRANGE(""https://docs.google.com/spreadsheets/d/1SX6NBoVAgQJ6U1MVXOaj8PK2l7WJ3RER9xtqwdhxkhw/edit?usp=sharing"",""สิงห์บุรี!I228"")"),0)</f>
        <v>0</v>
      </c>
      <c r="J328" s="339">
        <f ca="1">IFERROR(__xludf.DUMMYFUNCTION("IMPORTRANGE(""https://docs.google.com/spreadsheets/d/1SX6NBoVAgQJ6U1MVXOaj8PK2l7WJ3RER9xtqwdhxkhw/edit?usp=sharing"",""สิงห์บุรี!J228"")"),0)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672770</v>
      </c>
      <c r="M329" s="152">
        <f t="shared" ca="1" si="98"/>
        <v>529290</v>
      </c>
      <c r="N329" s="152">
        <f t="shared" ca="1" si="98"/>
        <v>440855.41</v>
      </c>
      <c r="O329" s="151">
        <f t="shared" ref="O329:O331" ca="1" si="99">IF(L329&gt;0,N329*100/L329,0)</f>
        <v>65.528399007090087</v>
      </c>
      <c r="P329" s="151">
        <f t="shared" ref="P329:P331" ca="1" si="100">IF(M329&gt;0,N329*100/M329,0)</f>
        <v>83.291845680061968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672770</v>
      </c>
      <c r="M331" s="157">
        <f t="shared" ca="1" si="102"/>
        <v>529290</v>
      </c>
      <c r="N331" s="157">
        <f t="shared" ca="1" si="102"/>
        <v>440855.41</v>
      </c>
      <c r="O331" s="156">
        <f t="shared" ca="1" si="99"/>
        <v>65.528399007090087</v>
      </c>
      <c r="P331" s="156">
        <f t="shared" ca="1" si="100"/>
        <v>83.291845680061968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537770</v>
      </c>
      <c r="M333" s="168">
        <f ca="1">IFERROR(__xludf.DUMMYFUNCTION("IMPORTRANGE(""https://docs.google.com/spreadsheets/d/1Yj_ptqi66GCucihVvJfMjLAmec39IyEx_6qawtMGysU/edit?usp=sharing"",""สบก!DL77"")"),394290)</f>
        <v>394290</v>
      </c>
      <c r="N333" s="169">
        <f ca="1">IFERROR(__xludf.DUMMYFUNCTION("IMPORTRANGE(""https://docs.google.com/spreadsheets/d/1Yj_ptqi66GCucihVvJfMjLAmec39IyEx_6qawtMGysU/edit?usp=sharing"",""สบก!DM77"")"),305855.41)</f>
        <v>305855.40999999997</v>
      </c>
      <c r="O333" s="169">
        <f ca="1">IF(L333&gt;0,N333*100/L333,0)</f>
        <v>56.874762444911383</v>
      </c>
      <c r="P333" s="169">
        <f ca="1">IF(M333&gt;0,N333*100/M333,0)</f>
        <v>77.571181110350238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IFERROR(__xludf.DUMMYFUNCTION("IMPORTRANGE(""https://docs.google.com/spreadsheets/d/1Yj_ptqi66GCucihVvJfMjLAmec39IyEx_6qawtMGysU/edit?usp=sharing"",""สบก!DI77"")"),43970)</f>
        <v>43970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IFERROR(__xludf.DUMMYFUNCTION("IMPORTRANGE(""https://docs.google.com/spreadsheets/d/1Yj_ptqi66GCucihVvJfMjLAmec39IyEx_6qawtMGysU/edit?usp=sharing"",""สบก!DJ77"")"),135000)</f>
        <v>135000</v>
      </c>
      <c r="M337" s="49">
        <f ca="1">L337</f>
        <v>135000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IFERROR(__xludf.DUMMYFUNCTION("IMPORTRANGE(""https://docs.google.com/spreadsheets/d/1SX6NBoVAgQJ6U1MVXOaj8PK2l7WJ3RER9xtqwdhxkhw/edit?usp=sharing"",""สิงห์บุรี!L242"")"),324230)</f>
        <v>324230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IFERROR(__xludf.DUMMYFUNCTION("IMPORTRANGE(""https://docs.google.com/spreadsheets/d/1SX6NBoVAgQJ6U1MVXOaj8PK2l7WJ3RER9xtqwdhxkhw/edit?usp=sharing"",""สิงห์บุรี!M242"")"),175369.66)</f>
        <v>175369.66</v>
      </c>
      <c r="O347" s="358">
        <f ca="1">+IF(L347&gt;0,N347*100/L347,0)</f>
        <v>54.088042439009342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IFERROR(__xludf.DUMMYFUNCTION("IMPORTRANGE(""https://docs.google.com/spreadsheets/d/1SX6NBoVAgQJ6U1MVXOaj8PK2l7WJ3RER9xtqwdhxkhw/edit?usp=sharing"",""สิงห์บุรี!M296"")"),80619)</f>
        <v>80619</v>
      </c>
      <c r="O401" s="373">
        <f ca="1">+IF(L401&gt;0,N401*100/L401,0)</f>
        <v>81.474482061647294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IFERROR(__xludf.DUMMYFUNCTION("IMPORTRANGE(""https://docs.google.com/spreadsheets/d/1SX6NBoVAgQJ6U1MVXOaj8PK2l7WJ3RER9xtqwdhxkhw/edit?usp=sharing"",""สิงห์บุรี!M299"")"),80619)</f>
        <v>80619</v>
      </c>
      <c r="O404" s="169">
        <f t="shared" ca="1" si="112"/>
        <v>81.474482061647294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IFERROR(__xludf.DUMMYFUNCTION("IMPORTRANGE(""https://docs.google.com/spreadsheets/d/1SX6NBoVAgQJ6U1MVXOaj8PK2l7WJ3RER9xtqwdhxkhw/edit?usp=sharing"",""สิงห์บุรี!M301"")"),80619)</f>
        <v>80619</v>
      </c>
      <c r="O406" s="169">
        <f t="shared" ca="1" si="112"/>
        <v>81.474482061647294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IFERROR(__xludf.DUMMYFUNCTION("IMPORTRANGE(""https://docs.google.com/spreadsheets/d/1SX6NBoVAgQJ6U1MVXOaj8PK2l7WJ3RER9xtqwdhxkhw/edit?usp=sharing"",""สิงห์บุรี!M302"")"),66424)</f>
        <v>66424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IFERROR(__xludf.DUMMYFUNCTION("IMPORTRANGE(""https://docs.google.com/spreadsheets/d/1SX6NBoVAgQJ6U1MVXOaj8PK2l7WJ3RER9xtqwdhxkhw/edit?usp=sharing"",""สิงห์บุรี!M303"")"),13395)</f>
        <v>13395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IFERROR(__xludf.DUMMYFUNCTION("IMPORTRANGE(""https://docs.google.com/spreadsheets/d/1SX6NBoVAgQJ6U1MVXOaj8PK2l7WJ3RER9xtqwdhxkhw/edit?usp=sharing"",""สิงห์บุรี!M305"")"),800)</f>
        <v>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IFERROR(__xludf.DUMMYFUNCTION("IMPORTRANGE(""https://docs.google.com/spreadsheets/d/1SX6NBoVAgQJ6U1MVXOaj8PK2l7WJ3RER9xtqwdhxkhw/edit?usp=sharing"",""สิงห์บุรี!J329"")"),0)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IFERROR(__xludf.DUMMYFUNCTION("IMPORTRANGE(""https://docs.google.com/spreadsheets/d/1SX6NBoVAgQJ6U1MVXOaj8PK2l7WJ3RER9xtqwdhxkhw/edit?usp=sharing"",""สิงห์บุรี!M330"")"),12539)</f>
        <v>12539</v>
      </c>
      <c r="O435" s="412">
        <f t="shared" ref="O435:O439" ca="1" si="114">+IF(L435&gt;0,N435*100/L435,0)</f>
        <v>16.498684210526317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IFERROR(__xludf.DUMMYFUNCTION("IMPORTRANGE(""https://docs.google.com/spreadsheets/d/1SX6NBoVAgQJ6U1MVXOaj8PK2l7WJ3RER9xtqwdhxkhw/edit?usp=sharing"",""สิงห์บุรี!M332"")"),12539)</f>
        <v>12539</v>
      </c>
      <c r="O437" s="169">
        <f t="shared" ca="1" si="114"/>
        <v>16.498684210526317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IFERROR(__xludf.DUMMYFUNCTION("IMPORTRANGE(""https://docs.google.com/spreadsheets/d/1SX6NBoVAgQJ6U1MVXOaj8PK2l7WJ3RER9xtqwdhxkhw/edit?usp=sharing"",""สิงห์บุรี!M334"")"),12539)</f>
        <v>12539</v>
      </c>
      <c r="O439" s="169">
        <f t="shared" ca="1" si="114"/>
        <v>16.498684210526317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IFERROR(__xludf.DUMMYFUNCTION("IMPORTRANGE(""https://docs.google.com/spreadsheets/d/1SX6NBoVAgQJ6U1MVXOaj8PK2l7WJ3RER9xtqwdhxkhw/edit?usp=sharing"",""สิงห์บุรี!M335"")"),12539)</f>
        <v>12539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IFERROR(__xludf.DUMMYFUNCTION("IMPORTRANGE(""https://docs.google.com/spreadsheets/d/1SX6NBoVAgQJ6U1MVXOaj8PK2l7WJ3RER9xtqwdhxkhw/edit?usp=sharing"",""สิงห์บุรี!J349"")"),0)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IFERROR(__xludf.DUMMYFUNCTION("IMPORTRANGE(""https://docs.google.com/spreadsheets/d/1SX6NBoVAgQJ6U1MVXOaj8PK2l7WJ3RER9xtqwdhxkhw/edit?usp=sharing"",""สิงห์บุรี!I359"")"),0)</f>
        <v>0</v>
      </c>
      <c r="J464" s="267">
        <f ca="1">IFERROR(__xludf.DUMMYFUNCTION("IMPORTRANGE(""https://docs.google.com/spreadsheets/d/1SX6NBoVAgQJ6U1MVXOaj8PK2l7WJ3RER9xtqwdhxkhw/edit?usp=sharing"",""สิงห์บุรี!J359"")"),0)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IFERROR(__xludf.DUMMYFUNCTION("IMPORTRANGE(""https://docs.google.com/spreadsheets/d/1SX6NBoVAgQJ6U1MVXOaj8PK2l7WJ3RER9xtqwdhxkhw/edit?usp=sharing"",""สิงห์บุรี!I411"")"),0)</f>
        <v>0</v>
      </c>
      <c r="J516" s="267">
        <f ca="1">IFERROR(__xludf.DUMMYFUNCTION("IMPORTRANGE(""https://docs.google.com/spreadsheets/d/1SX6NBoVAgQJ6U1MVXOaj8PK2l7WJ3RER9xtqwdhxkhw/edit?usp=sharing"",""สิงห์บุรี!J411"")"),0)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IFERROR(__xludf.DUMMYFUNCTION("IMPORTRANGE(""https://docs.google.com/spreadsheets/d/1SX6NBoVAgQJ6U1MVXOaj8PK2l7WJ3RER9xtqwdhxkhw/edit?usp=sharing"",""สิงห์บุรี!I412"")"),0)</f>
        <v>0</v>
      </c>
      <c r="J517" s="284">
        <f ca="1">IFERROR(__xludf.DUMMYFUNCTION("IMPORTRANGE(""https://docs.google.com/spreadsheets/d/1SX6NBoVAgQJ6U1MVXOaj8PK2l7WJ3RER9xtqwdhxkhw/edit?usp=sharing"",""สิงห์บุรี!J412"")"),0)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IFERROR(__xludf.DUMMYFUNCTION("IMPORTRANGE(""https://docs.google.com/spreadsheets/d/1SX6NBoVAgQJ6U1MVXOaj8PK2l7WJ3RER9xtqwdhxkhw/edit?usp=sharing"",""สิงห์บุรี!I413"")"),0)</f>
        <v>0</v>
      </c>
      <c r="J518" s="284">
        <f ca="1">IFERROR(__xludf.DUMMYFUNCTION("IMPORTRANGE(""https://docs.google.com/spreadsheets/d/1SX6NBoVAgQJ6U1MVXOaj8PK2l7WJ3RER9xtqwdhxkhw/edit?usp=sharing"",""สิงห์บุรี!J413"")"),0)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IFERROR(__xludf.DUMMYFUNCTION("IMPORTRANGE(""https://docs.google.com/spreadsheets/d/1SX6NBoVAgQJ6U1MVXOaj8PK2l7WJ3RER9xtqwdhxkhw/edit?usp=sharing"",""สิงห์บุรี!I420"")"),0)</f>
        <v>0</v>
      </c>
      <c r="J525" s="284">
        <f ca="1">IFERROR(__xludf.DUMMYFUNCTION("IMPORTRANGE(""https://docs.google.com/spreadsheets/d/1SX6NBoVAgQJ6U1MVXOaj8PK2l7WJ3RER9xtqwdhxkhw/edit?usp=sharing"",""สิงห์บุรี!J420"")"),0)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IFERROR(__xludf.DUMMYFUNCTION("IMPORTRANGE(""https://docs.google.com/spreadsheets/d/1SX6NBoVAgQJ6U1MVXOaj8PK2l7WJ3RER9xtqwdhxkhw/edit?usp=sharing"",""สิงห์บุรี!I421"")"),0)</f>
        <v>0</v>
      </c>
      <c r="J526" s="284">
        <f ca="1">IFERROR(__xludf.DUMMYFUNCTION("IMPORTRANGE(""https://docs.google.com/spreadsheets/d/1SX6NBoVAgQJ6U1MVXOaj8PK2l7WJ3RER9xtqwdhxkhw/edit?usp=sharing"",""สิงห์บุรี!J421"")"),0)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IFERROR(__xludf.DUMMYFUNCTION("IMPORTRANGE(""https://docs.google.com/spreadsheets/d/1SX6NBoVAgQJ6U1MVXOaj8PK2l7WJ3RER9xtqwdhxkhw/edit?usp=sharing"",""สิงห์บุรี!J459"")"),31)</f>
        <v>31</v>
      </c>
      <c r="K564" s="372">
        <f ca="1">IF(I564&gt;0,J564*100/I564,0)</f>
        <v>155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IFERROR(__xludf.DUMMYFUNCTION("IMPORTRANGE(""https://docs.google.com/spreadsheets/d/1SX6NBoVAgQJ6U1MVXOaj8PK2l7WJ3RER9xtqwdhxkhw/edit?usp=sharing"",""สิงห์บุรี!M459"")"),54856.66)</f>
        <v>54856.66</v>
      </c>
      <c r="O564" s="373">
        <f t="shared" ref="O564:O568" ca="1" si="122">+IF(L564&gt;0,N564*100/L564,0)</f>
        <v>46.55181602172437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IFERROR(__xludf.DUMMYFUNCTION("IMPORTRANGE(""https://docs.google.com/spreadsheets/d/1SX6NBoVAgQJ6U1MVXOaj8PK2l7WJ3RER9xtqwdhxkhw/edit?usp=sharing"",""สิงห์บุรี!M461"")"),54856.66)</f>
        <v>54856.66</v>
      </c>
      <c r="O566" s="169">
        <f t="shared" ca="1" si="122"/>
        <v>46.55181602172437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IFERROR(__xludf.DUMMYFUNCTION("IMPORTRANGE(""https://docs.google.com/spreadsheets/d/1SX6NBoVAgQJ6U1MVXOaj8PK2l7WJ3RER9xtqwdhxkhw/edit?usp=sharing"",""สิงห์บุรี!M463"")"),54856.66)</f>
        <v>54856.66</v>
      </c>
      <c r="O568" s="169">
        <f t="shared" ca="1" si="122"/>
        <v>46.55181602172437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IFERROR(__xludf.DUMMYFUNCTION("IMPORTRANGE(""https://docs.google.com/spreadsheets/d/1SX6NBoVAgQJ6U1MVXOaj8PK2l7WJ3RER9xtqwdhxkhw/edit?usp=sharing"",""สิงห์บุรี!M466"")"),54266.66)</f>
        <v>54266.66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IFERROR(__xludf.DUMMYFUNCTION("IMPORTRANGE(""https://docs.google.com/spreadsheets/d/1SX6NBoVAgQJ6U1MVXOaj8PK2l7WJ3RER9xtqwdhxkhw/edit?usp=sharing"",""สิงห์บุรี!M467"")"),590)</f>
        <v>590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IFERROR(__xludf.DUMMYFUNCTION("IMPORTRANGE(""https://docs.google.com/spreadsheets/d/1SX6NBoVAgQJ6U1MVXOaj8PK2l7WJ3RER9xtqwdhxkhw/edit?usp=sharing"",""สิงห์บุรี!J468"")"),31)</f>
        <v>31</v>
      </c>
      <c r="K573" s="202">
        <f ca="1">IF(I573&gt;0,J573*100/I573,0)</f>
        <v>155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IFERROR(__xludf.DUMMYFUNCTION("IMPORTRANGE(""https://docs.google.com/spreadsheets/d/1SX6NBoVAgQJ6U1MVXOaj8PK2l7WJ3RER9xtqwdhxkhw/edit?usp=sharing"",""สิงห์บุรี!J471"")"),5)</f>
        <v>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IFERROR(__xludf.DUMMYFUNCTION("IMPORTRANGE(""https://docs.google.com/spreadsheets/d/1SX6NBoVAgQJ6U1MVXOaj8PK2l7WJ3RER9xtqwdhxkhw/edit?usp=sharing"",""สิงห์บุรี!J472"")"),22)</f>
        <v>22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IFERROR(__xludf.DUMMYFUNCTION("IMPORTRANGE(""https://docs.google.com/spreadsheets/d/1SX6NBoVAgQJ6U1MVXOaj8PK2l7WJ3RER9xtqwdhxkhw/edit?usp=sharing"",""สิงห์บุรี!J474"")"),4)</f>
        <v>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IFERROR(__xludf.DUMMYFUNCTION("IMPORTRANGE(""https://docs.google.com/spreadsheets/d/1SX6NBoVAgQJ6U1MVXOaj8PK2l7WJ3RER9xtqwdhxkhw/edit?usp=sharing"",""สิงห์บุรี!I491"")"),0)</f>
        <v>0</v>
      </c>
      <c r="J596" s="241">
        <f ca="1">IFERROR(__xludf.DUMMYFUNCTION("IMPORTRANGE(""https://docs.google.com/spreadsheets/d/1SX6NBoVAgQJ6U1MVXOaj8PK2l7WJ3RER9xtqwdhxkhw/edit?usp=sharing"",""สิงห์บุรี!J491"")"),0)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7">
        <f ca="1">IFERROR(__xludf.DUMMYFUNCTION("IMPORTRANGE(""https://docs.google.com/spreadsheets/d/1SX6NBoVAgQJ6U1MVXOaj8PK2l7WJ3RER9xtqwdhxkhw/edit?usp=sharing"",""สิงห์บุรี!J492"")"),0)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IFERROR(__xludf.DUMMYFUNCTION("IMPORTRANGE(""https://docs.google.com/spreadsheets/d/1SX6NBoVAgQJ6U1MVXOaj8PK2l7WJ3RER9xtqwdhxkhw/edit?usp=sharing"",""สิงห์บุรี!M492"")"),4300)</f>
        <v>4300</v>
      </c>
      <c r="O597" s="412">
        <f t="shared" ref="O597:O601" ca="1" si="126">+IF(L597&gt;0,N597*100/L597,0)</f>
        <v>58.904109589041099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IFERROR(__xludf.DUMMYFUNCTION("IMPORTRANGE(""https://docs.google.com/spreadsheets/d/1SX6NBoVAgQJ6U1MVXOaj8PK2l7WJ3RER9xtqwdhxkhw/edit?usp=sharing"",""สิงห์บุรี!M494"")"),4300)</f>
        <v>4300</v>
      </c>
      <c r="O599" s="169">
        <f t="shared" ca="1" si="126"/>
        <v>58.904109589041099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IFERROR(__xludf.DUMMYFUNCTION("IMPORTRANGE(""https://docs.google.com/spreadsheets/d/1SX6NBoVAgQJ6U1MVXOaj8PK2l7WJ3RER9xtqwdhxkhw/edit?usp=sharing"",""สิงห์บุรี!M496"")"),4300)</f>
        <v>4300</v>
      </c>
      <c r="O601" s="169">
        <f t="shared" ca="1" si="126"/>
        <v>58.904109589041099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IFERROR(__xludf.DUMMYFUNCTION("IMPORTRANGE(""https://docs.google.com/spreadsheets/d/1SX6NBoVAgQJ6U1MVXOaj8PK2l7WJ3RER9xtqwdhxkhw/edit?usp=sharing"",""สิงห์บุรี!M500"")"),4300)</f>
        <v>4300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IFERROR(__xludf.DUMMYFUNCTION("IMPORTRANGE(""https://docs.google.com/spreadsheets/d/1SX6NBoVAgQJ6U1MVXOaj8PK2l7WJ3RER9xtqwdhxkhw/edit?usp=sharing"",""สิงห์บุรี!J507"")"),200)</f>
        <v>200</v>
      </c>
      <c r="K612" s="163">
        <f t="shared" ca="1" si="127"/>
        <v>200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IFERROR(__xludf.DUMMYFUNCTION("IMPORTRANGE(""https://docs.google.com/spreadsheets/d/1SX6NBoVAgQJ6U1MVXOaj8PK2l7WJ3RER9xtqwdhxkhw/edit?usp=sharing"",""สิงห์บุรี!J508"")"),200)</f>
        <v>200</v>
      </c>
      <c r="K613" s="163">
        <f t="shared" ca="1" si="127"/>
        <v>200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IFERROR(__xludf.DUMMYFUNCTION("IMPORTRANGE(""https://docs.google.com/spreadsheets/d/1SX6NBoVAgQJ6U1MVXOaj8PK2l7WJ3RER9xtqwdhxkhw/edit?usp=sharing"",""สิงห์บุรี!J509"")"),200)</f>
        <v>200</v>
      </c>
      <c r="K614" s="163">
        <f t="shared" ca="1" si="127"/>
        <v>200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IFERROR(__xludf.DUMMYFUNCTION("IMPORTRANGE(""https://docs.google.com/spreadsheets/d/1SX6NBoVAgQJ6U1MVXOaj8PK2l7WJ3RER9xtqwdhxkhw/edit?usp=sharing"",""สิงห์บุรี!J510"")"),200)</f>
        <v>200</v>
      </c>
      <c r="K615" s="163">
        <f t="shared" ca="1" si="127"/>
        <v>200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IFERROR(__xludf.DUMMYFUNCTION("IMPORTRANGE(""https://docs.google.com/spreadsheets/d/1SX6NBoVAgQJ6U1MVXOaj8PK2l7WJ3RER9xtqwdhxkhw/edit?usp=sharing"",""สิงห์บุรี!J511"")"),77)</f>
        <v>77</v>
      </c>
      <c r="K616" s="163">
        <f t="shared" ca="1" si="127"/>
        <v>77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IFERROR(__xludf.DUMMYFUNCTION("IMPORTRANGE(""https://docs.google.com/spreadsheets/d/1SX6NBoVAgQJ6U1MVXOaj8PK2l7WJ3RER9xtqwdhxkhw/edit?usp=sharing"",""สิงห์บุรี!I523"")"),520000)</f>
        <v>520000</v>
      </c>
      <c r="J628" s="341">
        <f ca="1">IFERROR(__xludf.DUMMYFUNCTION("IMPORTRANGE(""https://docs.google.com/spreadsheets/d/1SX6NBoVAgQJ6U1MVXOaj8PK2l7WJ3RER9xtqwdhxkhw/edit?usp=sharing"",""สิงห์บุรี!J523"")"),520000)</f>
        <v>520000</v>
      </c>
      <c r="K628" s="342">
        <f t="shared" ref="K628:K635" ca="1" si="129">IF(I628&gt;0,J628*100/I628,0)</f>
        <v>100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IFERROR(__xludf.DUMMYFUNCTION("IMPORTRANGE(""https://docs.google.com/spreadsheets/d/1SX6NBoVAgQJ6U1MVXOaj8PK2l7WJ3RER9xtqwdhxkhw/edit?usp=sharing"",""สิงห์บุรี!I524"")"),18)</f>
        <v>18</v>
      </c>
      <c r="J629" s="341">
        <f ca="1">IFERROR(__xludf.DUMMYFUNCTION("IMPORTRANGE(""https://docs.google.com/spreadsheets/d/1SX6NBoVAgQJ6U1MVXOaj8PK2l7WJ3RER9xtqwdhxkhw/edit?usp=sharing"",""สิงห์บุรี!J524"")"),18)</f>
        <v>18</v>
      </c>
      <c r="K629" s="342">
        <f t="shared" ca="1" si="129"/>
        <v>100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IFERROR(__xludf.DUMMYFUNCTION("IMPORTRANGE(""https://docs.google.com/spreadsheets/d/1SX6NBoVAgQJ6U1MVXOaj8PK2l7WJ3RER9xtqwdhxkhw/edit?usp=sharing"",""สิงห์บุรี!I525"")"),0)</f>
        <v>0</v>
      </c>
      <c r="J630" s="341">
        <f ca="1">IFERROR(__xludf.DUMMYFUNCTION("IMPORTRANGE(""https://docs.google.com/spreadsheets/d/1SX6NBoVAgQJ6U1MVXOaj8PK2l7WJ3RER9xtqwdhxkhw/edit?usp=sharing"",""สิงห์บุรี!J525"")"),0)</f>
        <v>0</v>
      </c>
      <c r="K630" s="342">
        <f t="shared" ca="1" si="129"/>
        <v>0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IFERROR(__xludf.DUMMYFUNCTION("IMPORTRANGE(""https://docs.google.com/spreadsheets/d/1SX6NBoVAgQJ6U1MVXOaj8PK2l7WJ3RER9xtqwdhxkhw/edit?usp=sharing"",""สิงห์บุรี!I526"")"),0)</f>
        <v>0</v>
      </c>
      <c r="J631" s="341">
        <f ca="1">IFERROR(__xludf.DUMMYFUNCTION("IMPORTRANGE(""https://docs.google.com/spreadsheets/d/1SX6NBoVAgQJ6U1MVXOaj8PK2l7WJ3RER9xtqwdhxkhw/edit?usp=sharing"",""สิงห์บุรี!J526"")"),0)</f>
        <v>0</v>
      </c>
      <c r="K631" s="342">
        <f t="shared" ca="1" si="129"/>
        <v>0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1">
        <f ca="1">IFERROR(__xludf.DUMMYFUNCTION("IMPORTRANGE(""https://docs.google.com/spreadsheets/d/1SX6NBoVAgQJ6U1MVXOaj8PK2l7WJ3RER9xtqwdhxkhw/edit?usp=sharing"",""สิงห์บุรี!J527"")"),44567.83)</f>
        <v>44567.83</v>
      </c>
      <c r="K632" s="342">
        <f t="shared" ca="1" si="129"/>
        <v>64.187375196139641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IFERROR(__xludf.DUMMYFUNCTION("IMPORTRANGE(""https://docs.google.com/spreadsheets/d/1SX6NBoVAgQJ6U1MVXOaj8PK2l7WJ3RER9xtqwdhxkhw/edit?usp=sharing"",""สิงห์บุรี!I528"")"),25)</f>
        <v>25</v>
      </c>
      <c r="J633" s="341">
        <f ca="1">IFERROR(__xludf.DUMMYFUNCTION("IMPORTRANGE(""https://docs.google.com/spreadsheets/d/1SX6NBoVAgQJ6U1MVXOaj8PK2l7WJ3RER9xtqwdhxkhw/edit?usp=sharing"",""สิงห์บุรี!J528"")"),17)</f>
        <v>17</v>
      </c>
      <c r="K633" s="342">
        <f t="shared" ca="1" si="129"/>
        <v>68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IFERROR(__xludf.DUMMYFUNCTION("IMPORTRANGE(""https://docs.google.com/spreadsheets/d/1SX6NBoVAgQJ6U1MVXOaj8PK2l7WJ3RER9xtqwdhxkhw/edit?usp=sharing"",""สิงห์บุรี!I529"")"),520000)</f>
        <v>520000</v>
      </c>
      <c r="J634" s="341">
        <f ca="1">IFERROR(__xludf.DUMMYFUNCTION("IMPORTRANGE(""https://docs.google.com/spreadsheets/d/1SX6NBoVAgQJ6U1MVXOaj8PK2l7WJ3RER9xtqwdhxkhw/edit?usp=sharing"",""สิงห์บุรี!J529"")"),520000)</f>
        <v>520000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IFERROR(__xludf.DUMMYFUNCTION("IMPORTRANGE(""https://docs.google.com/spreadsheets/d/1SX6NBoVAgQJ6U1MVXOaj8PK2l7WJ3RER9xtqwdhxkhw/edit?usp=sharing"",""สิงห์บุรี!I530"")"),19)</f>
        <v>19</v>
      </c>
      <c r="J635" s="504">
        <f ca="1">IFERROR(__xludf.DUMMYFUNCTION("IMPORTRANGE(""https://docs.google.com/spreadsheets/d/1SX6NBoVAgQJ6U1MVXOaj8PK2l7WJ3RER9xtqwdhxkhw/edit?usp=sharing"",""สิงห์บุรี!J530"")"),17)</f>
        <v>17</v>
      </c>
      <c r="K635" s="486">
        <f t="shared" ca="1" si="129"/>
        <v>89.473684210526315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3000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3000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3000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IFERROR(__xludf.DUMMYFUNCTION("IMPORTRANGE(""https://docs.google.com/spreadsheets/d/1SX6NBoVAgQJ6U1MVXOaj8PK2l7WJ3RER9xtqwdhxkhw/edit#gid=346597447"",""สิงห์บุรี!J541"")"),0)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IFERROR(__xludf.DUMMYFUNCTION("IMPORTRANGE(""https://docs.google.com/spreadsheets/d/1SX6NBoVAgQJ6U1MVXOaj8PK2l7WJ3RER9xtqwdhxkhw/edit#gid=346597447"",""สิงห์บุรี!J542"")"),0)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IFERROR(__xludf.DUMMYFUNCTION("IMPORTRANGE(""https://docs.google.com/spreadsheets/d/1SX6NBoVAgQJ6U1MVXOaj8PK2l7WJ3RER9xtqwdhxkhw/edit#gid=346597447"",""สิงห์บุรี!I543"")"),0)</f>
        <v>0</v>
      </c>
      <c r="J648" s="536">
        <f ca="1">IFERROR(__xludf.DUMMYFUNCTION("IMPORTRANGE(""https://docs.google.com/spreadsheets/d/1SX6NBoVAgQJ6U1MVXOaj8PK2l7WJ3RER9xtqwdhxkhw/edit#gid=346597447"",""สิงห์บุรี!J543"")"),0)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IFERROR(__xludf.DUMMYFUNCTION("IMPORTRANGE(""https://docs.google.com/spreadsheets/d/1SX6NBoVAgQJ6U1MVXOaj8PK2l7WJ3RER9xtqwdhxkhw/edit#gid=346597447"",""สิงห์บุรี!L543"")"),0)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IFERROR(__xludf.DUMMYFUNCTION("IMPORTRANGE(""https://docs.google.com/spreadsheets/d/1SX6NBoVAgQJ6U1MVXOaj8PK2l7WJ3RER9xtqwdhxkhw/edit#gid=346597447"",""สิงห์บุรี!M543"")"),0)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IFERROR(__xludf.DUMMYFUNCTION("IMPORTRANGE(""https://docs.google.com/spreadsheets/d/1SX6NBoVAgQJ6U1MVXOaj8PK2l7WJ3RER9xtqwdhxkhw/edit#gid=346597447"",""สิงห์บุรี!I544"")"),0)</f>
        <v>0</v>
      </c>
      <c r="J649" s="536">
        <f ca="1">IFERROR(__xludf.DUMMYFUNCTION("IMPORTRANGE(""https://docs.google.com/spreadsheets/d/1SX6NBoVAgQJ6U1MVXOaj8PK2l7WJ3RER9xtqwdhxkhw/edit#gid=346597447"",""สิงห์บุรี!J544"")"),0)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IFERROR(__xludf.DUMMYFUNCTION("IMPORTRANGE(""https://docs.google.com/spreadsheets/d/1SX6NBoVAgQJ6U1MVXOaj8PK2l7WJ3RER9xtqwdhxkhw/edit#gid=346597447"",""สิงห์บุรี!L544"")"),0)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IFERROR(__xludf.DUMMYFUNCTION("IMPORTRANGE(""https://docs.google.com/spreadsheets/d/1SX6NBoVAgQJ6U1MVXOaj8PK2l7WJ3RER9xtqwdhxkhw/edit#gid=346597447"",""สิงห์บุรี!M544"")"),0)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IFERROR(__xludf.DUMMYFUNCTION("IMPORTRANGE(""https://docs.google.com/spreadsheets/d/1SX6NBoVAgQJ6U1MVXOaj8PK2l7WJ3RER9xtqwdhxkhw/edit#gid=346597447"",""สิงห์บุรี!I545"")"),0)</f>
        <v>0</v>
      </c>
      <c r="J650" s="536">
        <f ca="1">IFERROR(__xludf.DUMMYFUNCTION("IMPORTRANGE(""https://docs.google.com/spreadsheets/d/1SX6NBoVAgQJ6U1MVXOaj8PK2l7WJ3RER9xtqwdhxkhw/edit#gid=346597447"",""สิงห์บุรี!J545"")"),0)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IFERROR(__xludf.DUMMYFUNCTION("IMPORTRANGE(""https://docs.google.com/spreadsheets/d/1SX6NBoVAgQJ6U1MVXOaj8PK2l7WJ3RER9xtqwdhxkhw/edit#gid=346597447"",""สิงห์บุรี!L545"")"),0)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IFERROR(__xludf.DUMMYFUNCTION("IMPORTRANGE(""https://docs.google.com/spreadsheets/d/1SX6NBoVAgQJ6U1MVXOaj8PK2l7WJ3RER9xtqwdhxkhw/edit#gid=346597447"",""สิงห์บุรี!M545"")"),0)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IFERROR(__xludf.DUMMYFUNCTION("IMPORTRANGE(""https://docs.google.com/spreadsheets/d/1SX6NBoVAgQJ6U1MVXOaj8PK2l7WJ3RER9xtqwdhxkhw/edit#gid=346597447"",""สิงห์บุรี!I546"")"),0)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IFERROR(__xludf.DUMMYFUNCTION("IMPORTRANGE(""https://docs.google.com/spreadsheets/d/1SX6NBoVAgQJ6U1MVXOaj8PK2l7WJ3RER9xtqwdhxkhw/edit#gid=346597447"",""สิงห์บุรี!L546"")"),0)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IFERROR(__xludf.DUMMYFUNCTION("IMPORTRANGE(""https://docs.google.com/spreadsheets/d/1SX6NBoVAgQJ6U1MVXOaj8PK2l7WJ3RER9xtqwdhxkhw/edit#gid=346597447"",""สิงห์บุรี!M546"")"),0)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IFERROR(__xludf.DUMMYFUNCTION("IMPORTRANGE(""https://docs.google.com/spreadsheets/d/1SX6NBoVAgQJ6U1MVXOaj8PK2l7WJ3RER9xtqwdhxkhw/edit#gid=346597447"",""สิงห์บุรี!J547"")"),0)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IFERROR(__xludf.DUMMYFUNCTION("IMPORTRANGE(""https://docs.google.com/spreadsheets/d/1SX6NBoVAgQJ6U1MVXOaj8PK2l7WJ3RER9xtqwdhxkhw/edit#gid=346597447"",""สิงห์บุรี!J548"")"),0)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IFERROR(__xludf.DUMMYFUNCTION("IMPORTRANGE(""https://docs.google.com/spreadsheets/d/1SX6NBoVAgQJ6U1MVXOaj8PK2l7WJ3RER9xtqwdhxkhw/edit#gid=346597447"",""สิงห์บุรี!J550"")"),0)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IFERROR(__xludf.DUMMYFUNCTION("IMPORTRANGE(""https://docs.google.com/spreadsheets/d/1SX6NBoVAgQJ6U1MVXOaj8PK2l7WJ3RER9xtqwdhxkhw/edit#gid=346597447"",""สิงห์บุรี!J551"")"),0)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IFERROR(__xludf.DUMMYFUNCTION("IMPORTRANGE(""https://docs.google.com/spreadsheets/d/1SX6NBoVAgQJ6U1MVXOaj8PK2l7WJ3RER9xtqwdhxkhw/edit#gid=346597447"",""สิงห์บุรี!J552"")"),0)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IFERROR(__xludf.DUMMYFUNCTION("IMPORTRANGE(""https://docs.google.com/spreadsheets/d/1SX6NBoVAgQJ6U1MVXOaj8PK2l7WJ3RER9xtqwdhxkhw/edit#gid=346597447"",""สิงห์บุรี!J553"")"),0)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IFERROR(__xludf.DUMMYFUNCTION("IMPORTRANGE(""https://docs.google.com/spreadsheets/d/1SX6NBoVAgQJ6U1MVXOaj8PK2l7WJ3RER9xtqwdhxkhw/edit#gid=346597447"",""สิงห์บุรี!J554"")"),0)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IFERROR(__xludf.DUMMYFUNCTION("IMPORTRANGE(""https://docs.google.com/spreadsheets/d/1SX6NBoVAgQJ6U1MVXOaj8PK2l7WJ3RER9xtqwdhxkhw/edit#gid=346597447"",""สิงห์บุรี!J555"")"),0)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IFERROR(__xludf.DUMMYFUNCTION("IMPORTRANGE(""https://docs.google.com/spreadsheets/d/1SX6NBoVAgQJ6U1MVXOaj8PK2l7WJ3RER9xtqwdhxkhw/edit#gid=346597447"",""สิงห์บุรี!J556"")"),0)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IFERROR(__xludf.DUMMYFUNCTION("IMPORTRANGE(""https://docs.google.com/spreadsheets/d/1SX6NBoVAgQJ6U1MVXOaj8PK2l7WJ3RER9xtqwdhxkhw/edit#gid=346597447"",""สิงห์บุรี!L556"")"),2880)</f>
        <v>2880</v>
      </c>
      <c r="M661" s="521"/>
      <c r="N661" s="538">
        <f ca="1">IFERROR(__xludf.DUMMYFUNCTION("IMPORTRANGE(""https://docs.google.com/spreadsheets/d/1SX6NBoVAgQJ6U1MVXOaj8PK2l7WJ3RER9xtqwdhxkhw/edit#gid=346597447"",""สิงห์บุรี!M556"")"),0)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IFERROR(__xludf.DUMMYFUNCTION("IMPORTRANGE(""https://docs.google.com/spreadsheets/d/1SX6NBoVAgQJ6U1MVXOaj8PK2l7WJ3RER9xtqwdhxkhw/edit#gid=346597447"",""สิงห์บุรี!J557"")"),0)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IFERROR(__xludf.DUMMYFUNCTION("IMPORTRANGE(""https://docs.google.com/spreadsheets/d/1SX6NBoVAgQJ6U1MVXOaj8PK2l7WJ3RER9xtqwdhxkhw/edit#gid=346597447"",""สิงห์บุรี!I558"")"),72)</f>
        <v>72</v>
      </c>
      <c r="J663" s="536">
        <f ca="1">IFERROR(__xludf.DUMMYFUNCTION("IMPORTRANGE(""https://docs.google.com/spreadsheets/d/1SX6NBoVAgQJ6U1MVXOaj8PK2l7WJ3RER9xtqwdhxkhw/edit#gid=346597447"",""สิงห์บุรี!J558"")"),0)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IFERROR(__xludf.DUMMYFUNCTION("IMPORTRANGE(""https://docs.google.com/spreadsheets/d/1SX6NBoVAgQJ6U1MVXOaj8PK2l7WJ3RER9xtqwdhxkhw/edit#gid=346597447"",""สิงห์บุรี!I560"")"),1)</f>
        <v>1</v>
      </c>
      <c r="J665" s="536">
        <f ca="1">IFERROR(__xludf.DUMMYFUNCTION("IMPORTRANGE(""https://docs.google.com/spreadsheets/d/1SX6NBoVAgQJ6U1MVXOaj8PK2l7WJ3RER9xtqwdhxkhw/edit#gid=346597447"",""สิงห์บุรี!J560"")"),0)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IFERROR(__xludf.DUMMYFUNCTION("IMPORTRANGE(""https://docs.google.com/spreadsheets/d/1SX6NBoVAgQJ6U1MVXOaj8PK2l7WJ3RER9xtqwdhxkhw/edit#gid=346597447"",""สิงห์บุรี!L560"")"),120)</f>
        <v>120</v>
      </c>
      <c r="M665" s="521"/>
      <c r="N665" s="538">
        <f ca="1">IFERROR(__xludf.DUMMYFUNCTION("IMPORTRANGE(""https://docs.google.com/spreadsheets/d/1SX6NBoVAgQJ6U1MVXOaj8PK2l7WJ3RER9xtqwdhxkhw/edit#gid=346597447"",""สิงห์บุรี!M560"")"),0)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IFERROR(__xludf.DUMMYFUNCTION("IMPORTRANGE(""https://docs.google.com/spreadsheets/d/1SX6NBoVAgQJ6U1MVXOaj8PK2l7WJ3RER9xtqwdhxkhw/edit#gid=346597447"",""สิงห์บุรี!J561"")"),0)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IFERROR(__xludf.DUMMYFUNCTION("IMPORTRANGE(""https://docs.google.com/spreadsheets/d/1SX6NBoVAgQJ6U1MVXOaj8PK2l7WJ3RER9xtqwdhxkhw/edit#gid=346597447"",""สิงห์บุรี!J562"")"),0)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IFERROR(__xludf.DUMMYFUNCTION("IMPORTRANGE(""https://docs.google.com/spreadsheets/d/1SX6NBoVAgQJ6U1MVXOaj8PK2l7WJ3RER9xtqwdhxkhw/edit#gid=346597447"",""สิงห์บุรี!I563"")"),0)</f>
        <v>0</v>
      </c>
      <c r="J668" s="536">
        <f ca="1">IFERROR(__xludf.DUMMYFUNCTION("IMPORTRANGE(""https://docs.google.com/spreadsheets/d/1SX6NBoVAgQJ6U1MVXOaj8PK2l7WJ3RER9xtqwdhxkhw/edit#gid=346597447"",""สิงห์บุรี!J563"")"),0)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IFERROR(__xludf.DUMMYFUNCTION("IMPORTRANGE(""https://docs.google.com/spreadsheets/d/1SX6NBoVAgQJ6U1MVXOaj8PK2l7WJ3RER9xtqwdhxkhw/edit#gid=346597447"",""สิงห์บุรี!L563"")"),0)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IFERROR(__xludf.DUMMYFUNCTION("IMPORTRANGE(""https://docs.google.com/spreadsheets/d/1SX6NBoVAgQJ6U1MVXOaj8PK2l7WJ3RER9xtqwdhxkhw/edit#gid=346597447"",""สิงห์บุรี!M563"")"),0)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IFERROR(__xludf.DUMMYFUNCTION("IMPORTRANGE(""https://docs.google.com/spreadsheets/d/1SX6NBoVAgQJ6U1MVXOaj8PK2l7WJ3RER9xtqwdhxkhw/edit#gid=346597447"",""สิงห์บุรี!J564"")"),0)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IFERROR(__xludf.DUMMYFUNCTION("IMPORTRANGE(""https://docs.google.com/spreadsheets/d/1SX6NBoVAgQJ6U1MVXOaj8PK2l7WJ3RER9xtqwdhxkhw/edit#gid=346597447"",""สิงห์บุรี!J565"")"),0)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IFERROR(__xludf.DUMMYFUNCTION("IMPORTRANGE(""https://docs.google.com/spreadsheets/d/1SX6NBoVAgQJ6U1MVXOaj8PK2l7WJ3RER9xtqwdhxkhw/edit#gid=346597447"",""สิงห์บุรี!I566"")"),0)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IFERROR(__xludf.DUMMYFUNCTION("IMPORTRANGE(""https://docs.google.com/spreadsheets/d/1SX6NBoVAgQJ6U1MVXOaj8PK2l7WJ3RER9xtqwdhxkhw/edit#gid=346597447"",""สิงห์บุรี!L566"")"),0)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IFERROR(__xludf.DUMMYFUNCTION("IMPORTRANGE(""https://docs.google.com/spreadsheets/d/1SX6NBoVAgQJ6U1MVXOaj8PK2l7WJ3RER9xtqwdhxkhw/edit#gid=346597447"",""สิงห์บุรี!M566"")"),0)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IFERROR(__xludf.DUMMYFUNCTION("IMPORTRANGE(""https://docs.google.com/spreadsheets/d/1SX6NBoVAgQJ6U1MVXOaj8PK2l7WJ3RER9xtqwdhxkhw/edit#gid=346597447"",""สิงห์บุรี!J567"")"),0)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IFERROR(__xludf.DUMMYFUNCTION("IMPORTRANGE(""https://docs.google.com/spreadsheets/d/1SX6NBoVAgQJ6U1MVXOaj8PK2l7WJ3RER9xtqwdhxkhw/edit#gid=346597447"",""สิงห์บุรี!J568"")"),0)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IFERROR(__xludf.DUMMYFUNCTION("IMPORTRANGE(""https://docs.google.com/spreadsheets/d/1SX6NBoVAgQJ6U1MVXOaj8PK2l7WJ3RER9xtqwdhxkhw/edit#gid=346597447"",""สิงห์บุรี!J569"")"),0)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IFERROR(__xludf.DUMMYFUNCTION("IMPORTRANGE(""https://docs.google.com/spreadsheets/d/1SX6NBoVAgQJ6U1MVXOaj8PK2l7WJ3RER9xtqwdhxkhw/edit#gid=346597447"",""สิงห์บุรี!J570"")"),0)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IFERROR(__xludf.DUMMYFUNCTION("IMPORTRANGE(""https://docs.google.com/spreadsheets/d/1SX6NBoVAgQJ6U1MVXOaj8PK2l7WJ3RER9xtqwdhxkhw/edit#gid=346597447"",""สิงห์บุรี!J571"")"),0)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IFERROR(__xludf.DUMMYFUNCTION("IMPORTRANGE(""https://docs.google.com/spreadsheets/d/1SX6NBoVAgQJ6U1MVXOaj8PK2l7WJ3RER9xtqwdhxkhw/edit#gid=346597447"",""สิงห์บุรี!J572"")"),0)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G4" sqref="G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298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7197750</v>
      </c>
      <c r="M8" s="23">
        <f t="shared" ca="1" si="0"/>
        <v>4066901</v>
      </c>
      <c r="N8" s="23">
        <f t="shared" ca="1" si="0"/>
        <v>4722111.9699999979</v>
      </c>
      <c r="O8" s="22">
        <f t="shared" ref="O8:O16" ca="1" si="1">IF(L8&gt;0,N8*100/L8,0)</f>
        <v>65.605390156646138</v>
      </c>
      <c r="P8" s="22">
        <f t="shared" ref="P8:P16" ca="1" si="2">IF(M8&gt;0,N8*100/M8,0)</f>
        <v>116.1108168111296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7197750</v>
      </c>
      <c r="M10" s="30">
        <f t="shared" ca="1" si="4"/>
        <v>4066901</v>
      </c>
      <c r="N10" s="30">
        <f t="shared" ca="1" si="4"/>
        <v>4722111.9699999979</v>
      </c>
      <c r="O10" s="29">
        <f t="shared" ca="1" si="1"/>
        <v>65.605390156646138</v>
      </c>
      <c r="P10" s="29">
        <f t="shared" ca="1" si="2"/>
        <v>116.1108168111296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6264750</v>
      </c>
      <c r="M12" s="38">
        <f t="shared" ca="1" si="6"/>
        <v>3133901</v>
      </c>
      <c r="N12" s="38">
        <f t="shared" ca="1" si="6"/>
        <v>3789111.9699999979</v>
      </c>
      <c r="O12" s="38">
        <f t="shared" ca="1" si="1"/>
        <v>60.483051518416502</v>
      </c>
      <c r="P12" s="38">
        <f t="shared" ca="1" si="2"/>
        <v>120.90720064226655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3913050</v>
      </c>
      <c r="M14" s="38">
        <f t="shared" si="8"/>
        <v>0</v>
      </c>
      <c r="N14" s="38">
        <f t="shared" ca="1" si="8"/>
        <v>1228984.9299999981</v>
      </c>
      <c r="O14" s="38">
        <f t="shared" ca="1" si="1"/>
        <v>31.407340309988324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933000</v>
      </c>
      <c r="M16" s="38">
        <f t="shared" ca="1" si="10"/>
        <v>933000</v>
      </c>
      <c r="N16" s="38">
        <f t="shared" ca="1" si="10"/>
        <v>933000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4597055</v>
      </c>
      <c r="M18" s="23">
        <f t="shared" ca="1" si="11"/>
        <v>4066901</v>
      </c>
      <c r="N18" s="23">
        <f t="shared" ca="1" si="11"/>
        <v>3493127.04</v>
      </c>
      <c r="O18" s="22">
        <f t="shared" ref="O18:O20" ca="1" si="12">IF(L18&gt;0,N18*100/L18,0)</f>
        <v>75.986192029462345</v>
      </c>
      <c r="P18" s="22">
        <f t="shared" ref="P18:P26" ca="1" si="13">IF(M18&gt;0,N18*100/M18,0)</f>
        <v>85.891617228941641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4597055</v>
      </c>
      <c r="M20" s="30">
        <f t="shared" ca="1" si="15"/>
        <v>4066901</v>
      </c>
      <c r="N20" s="30">
        <f t="shared" ca="1" si="15"/>
        <v>3493127.04</v>
      </c>
      <c r="O20" s="29">
        <f t="shared" ca="1" si="12"/>
        <v>75.986192029462345</v>
      </c>
      <c r="P20" s="29">
        <f t="shared" ca="1" si="13"/>
        <v>85.891617228941641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3664055</v>
      </c>
      <c r="M22" s="41">
        <f t="shared" ca="1" si="18"/>
        <v>3133901</v>
      </c>
      <c r="N22" s="38">
        <f t="shared" ca="1" si="18"/>
        <v>2560127.04</v>
      </c>
      <c r="O22" s="38">
        <f t="shared" ca="1" si="17"/>
        <v>69.87141404809698</v>
      </c>
      <c r="P22" s="38">
        <f t="shared" ca="1" si="13"/>
        <v>81.691382082586529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1312355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933000</v>
      </c>
      <c r="M26" s="49">
        <f t="shared" ca="1" si="22"/>
        <v>933000</v>
      </c>
      <c r="N26" s="49">
        <f t="shared" ca="1" si="22"/>
        <v>933000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2600695</v>
      </c>
      <c r="M28" s="23">
        <f t="shared" si="23"/>
        <v>0</v>
      </c>
      <c r="N28" s="23">
        <f t="shared" ca="1" si="23"/>
        <v>1228984.9299999981</v>
      </c>
      <c r="O28" s="22">
        <f t="shared" ref="O28:O30" ca="1" si="24">IF(L28&gt;0,N28*100/L28,0)</f>
        <v>47.256019256391006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2600695</v>
      </c>
      <c r="M30" s="30">
        <f t="shared" si="27"/>
        <v>0</v>
      </c>
      <c r="N30" s="30">
        <f t="shared" ca="1" si="27"/>
        <v>1228984.9299999981</v>
      </c>
      <c r="O30" s="29">
        <f t="shared" ca="1" si="24"/>
        <v>47.256019256391006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2600695</v>
      </c>
      <c r="M32" s="38">
        <f t="shared" si="30"/>
        <v>0</v>
      </c>
      <c r="N32" s="38">
        <f t="shared" ca="1" si="30"/>
        <v>1228984.9299999981</v>
      </c>
      <c r="O32" s="38">
        <f t="shared" ca="1" si="29"/>
        <v>47.256019256391006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2600695</v>
      </c>
      <c r="M34" s="38">
        <f t="shared" si="32"/>
        <v>0</v>
      </c>
      <c r="N34" s="38">
        <f t="shared" ca="1" si="32"/>
        <v>1228984.9299999981</v>
      </c>
      <c r="O34" s="38">
        <f t="shared" ca="1" si="29"/>
        <v>47.256019256391006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4597055</v>
      </c>
      <c r="M37" s="54">
        <f t="shared" ca="1" si="33"/>
        <v>4066901</v>
      </c>
      <c r="N37" s="54">
        <f t="shared" ca="1" si="33"/>
        <v>3493127.04</v>
      </c>
      <c r="O37" s="55">
        <f t="shared" ca="1" si="29"/>
        <v>75.986192029462345</v>
      </c>
      <c r="P37" s="55">
        <f t="shared" ca="1" si="25"/>
        <v>85.891617228941641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851300</v>
      </c>
      <c r="M41" s="78">
        <f t="shared" ca="1" si="34"/>
        <v>638500</v>
      </c>
      <c r="N41" s="78">
        <f t="shared" ca="1" si="34"/>
        <v>528814.98</v>
      </c>
      <c r="O41" s="77">
        <f t="shared" ref="O41:O43" ca="1" si="35">IF(L41&gt;0,N41*100/L41,0)</f>
        <v>62.11852226007283</v>
      </c>
      <c r="P41" s="77">
        <f t="shared" ref="P41:P43" ca="1" si="36">IF(M41&gt;0,N41*100/M41,0)</f>
        <v>82.821453406421298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851300</v>
      </c>
      <c r="M43" s="78">
        <f t="shared" ca="1" si="38"/>
        <v>638500</v>
      </c>
      <c r="N43" s="78">
        <f t="shared" ca="1" si="38"/>
        <v>528814.98</v>
      </c>
      <c r="O43" s="77">
        <f t="shared" ca="1" si="35"/>
        <v>62.11852226007283</v>
      </c>
      <c r="P43" s="77">
        <f t="shared" ca="1" si="36"/>
        <v>82.821453406421298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IFERROR(__xludf.DUMMYFUNCTION("IMPORTRANGE(""https://docs.google.com/spreadsheets/d/1Yj_ptqi66GCucihVvJfMjLAmec39IyEx_6qawtMGysU/edit?usp=sharing"",""สบก!Q78"")"),638500)</f>
        <v>638500</v>
      </c>
      <c r="N45" s="49">
        <f ca="1">IFERROR(__xludf.DUMMYFUNCTION("IMPORTRANGE(""https://docs.google.com/spreadsheets/d/1Yj_ptqi66GCucihVvJfMjLAmec39IyEx_6qawtMGysU/edit?usp=sharing"",""สบก!R78"")"),528814.98)</f>
        <v>528814.98</v>
      </c>
      <c r="O45" s="38">
        <f ca="1">IF(L45&gt;0,N45*100/L45,0)</f>
        <v>62.11852226007283</v>
      </c>
      <c r="P45" s="38">
        <f ca="1">IF(M45&gt;0,N45*100/M45,0)</f>
        <v>82.821453406421298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IFERROR(__xludf.DUMMYFUNCTION("IMPORTRANGE(""https://docs.google.com/spreadsheets/d/1Yj_ptqi66GCucihVvJfMjLAmec39IyEx_6qawtMGysU/edit?usp=sharing"",""สบก!O78"")"),0)</f>
        <v>0</v>
      </c>
      <c r="M49" s="49"/>
      <c r="N49" s="49">
        <f ca="1">IFERROR(__xludf.DUMMYFUNCTION("IMPORTRANGE(""https://docs.google.com/spreadsheets/d/1Yj_ptqi66GCucihVvJfMjLAmec39IyEx_6qawtMGysU/edit?usp=sharing"",""สบก!S78"")"),0)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613131</v>
      </c>
      <c r="N53" s="121">
        <f t="shared" ca="1" si="39"/>
        <v>601556</v>
      </c>
      <c r="O53" s="120">
        <f t="shared" ref="O53:O55" ca="1" si="40">IF(L53&gt;0,N53*100/L53,0)</f>
        <v>100.25933333333333</v>
      </c>
      <c r="P53" s="120">
        <f t="shared" ref="P53:P55" ca="1" si="41">IF(M53&gt;0,N53*100/M53,0)</f>
        <v>98.112148953486283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613131</v>
      </c>
      <c r="N55" s="121">
        <f t="shared" ca="1" si="43"/>
        <v>601556</v>
      </c>
      <c r="O55" s="120">
        <f t="shared" ca="1" si="40"/>
        <v>100.25933333333333</v>
      </c>
      <c r="P55" s="120">
        <f t="shared" ca="1" si="41"/>
        <v>98.112148953486283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IFERROR(__xludf.DUMMYFUNCTION("IMPORTRANGE(""https://docs.google.com/spreadsheets/d/1Yj_ptqi66GCucihVvJfMjLAmec39IyEx_6qawtMGysU/edit?usp=sharing"",""สบก!Z78"")"),613131)</f>
        <v>613131</v>
      </c>
      <c r="N57" s="49">
        <f ca="1">IFERROR(__xludf.DUMMYFUNCTION("IMPORTRANGE(""https://docs.google.com/spreadsheets/d/1Yj_ptqi66GCucihVvJfMjLAmec39IyEx_6qawtMGysU/edit?usp=sharing"",""สบก!AA78"")"),601556)</f>
        <v>601556</v>
      </c>
      <c r="O57" s="38">
        <f ca="1">IF(L57&gt;0,N57*100/L57,0)</f>
        <v>100.25933333333333</v>
      </c>
      <c r="P57" s="38">
        <f ca="1">IF(M57&gt;0,N57*100/M57,0)</f>
        <v>98.112148953486283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1714400</v>
      </c>
      <c r="N66" s="152">
        <f t="shared" ca="1" si="45"/>
        <v>1556580</v>
      </c>
      <c r="O66" s="151">
        <f t="shared" ref="O66:O68" ca="1" si="46">IF(L66&gt;0,N66*100/L66,0)</f>
        <v>83.230670516522295</v>
      </c>
      <c r="P66" s="151">
        <f t="shared" ref="P66:P68" ca="1" si="47">IF(M66&gt;0,N66*100/M66,0)</f>
        <v>90.794447036864213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1714400</v>
      </c>
      <c r="N68" s="157">
        <f t="shared" ca="1" si="49"/>
        <v>1556580</v>
      </c>
      <c r="O68" s="156">
        <f t="shared" ca="1" si="46"/>
        <v>83.230670516522295</v>
      </c>
      <c r="P68" s="156">
        <f t="shared" ca="1" si="47"/>
        <v>90.794447036864213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947200</v>
      </c>
      <c r="M70" s="168">
        <f ca="1">IFERROR(__xludf.DUMMYFUNCTION("IMPORTRANGE(""https://docs.google.com/spreadsheets/d/1Yj_ptqi66GCucihVvJfMjLAmec39IyEx_6qawtMGysU/edit?usp=sharing"",""สบก!AI78"")"),791400)</f>
        <v>791400</v>
      </c>
      <c r="N70" s="169">
        <f ca="1">IFERROR(__xludf.DUMMYFUNCTION("IMPORTRANGE(""https://docs.google.com/spreadsheets/d/1Yj_ptqi66GCucihVvJfMjLAmec39IyEx_6qawtMGysU/edit?usp=sharing"",""สบก!AJ78"")"),633580)</f>
        <v>633580</v>
      </c>
      <c r="O70" s="169">
        <f ca="1">IF(L70&gt;0,N70*100/L70,0)</f>
        <v>66.889780405405403</v>
      </c>
      <c r="P70" s="169">
        <f ca="1">IF(M70&gt;0,N70*100/M70,0)</f>
        <v>80.058124842052067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IFERROR(__xludf.DUMMYFUNCTION("IMPORTRANGE(""https://docs.google.com/spreadsheets/d/1Yj_ptqi66GCucihVvJfMjLAmec39IyEx_6qawtMGysU/edit?usp=sharing"",""สบก!AF78"")"),630000)</f>
        <v>630000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IFERROR(__xludf.DUMMYFUNCTION("IMPORTRANGE(""https://docs.google.com/spreadsheets/d/1SX6NBoVAgQJ6U1MVXOaj8PK2l7WJ3RER9xtqwdhxkhw/edit?usp=sharing"",""สุพรรณบุรี!I28"")"),0)</f>
        <v>0</v>
      </c>
      <c r="J88" s="204">
        <f ca="1">IFERROR(__xludf.DUMMYFUNCTION("IMPORTRANGE(""https://docs.google.com/spreadsheets/d/1SX6NBoVAgQJ6U1MVXOaj8PK2l7WJ3RER9xtqwdhxkhw/edit?usp=sharing"",""สุพรรณบุรี!J28"")"),0)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IFERROR(__xludf.DUMMYFUNCTION("IMPORTRANGE(""https://docs.google.com/spreadsheets/d/1SX6NBoVAgQJ6U1MVXOaj8PK2l7WJ3RER9xtqwdhxkhw/edit?usp=sharing"",""สุพรรณบุรี!J30"")"),0)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IFERROR(__xludf.DUMMYFUNCTION("IMPORTRANGE(""https://docs.google.com/spreadsheets/d/1SX6NBoVAgQJ6U1MVXOaj8PK2l7WJ3RER9xtqwdhxkhw/edit?usp=sharing"",""สุพรรณบุรี!J50"")"),0)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63967</v>
      </c>
      <c r="O118" s="151">
        <f t="shared" ref="O118:O120" ca="1" si="59">IF(L118&gt;0,N118*100/L118,0)</f>
        <v>98.577592849437508</v>
      </c>
      <c r="P118" s="151">
        <f t="shared" ref="P118:P120" ca="1" si="60">IF(M118&gt;0,N118*100/M118,0)</f>
        <v>98.577592849437508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63967</v>
      </c>
      <c r="O120" s="156">
        <f t="shared" ca="1" si="59"/>
        <v>98.577592849437508</v>
      </c>
      <c r="P120" s="156">
        <f t="shared" ca="1" si="60"/>
        <v>98.577592849437508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IFERROR(__xludf.DUMMYFUNCTION("IMPORTRANGE(""https://docs.google.com/spreadsheets/d/1Yj_ptqi66GCucihVvJfMjLAmec39IyEx_6qawtMGysU/edit?usp=sharing"",""สบก!BA78"")"),64890)</f>
        <v>64890</v>
      </c>
      <c r="N122" s="169">
        <f ca="1">IFERROR(__xludf.DUMMYFUNCTION("IMPORTRANGE(""https://docs.google.com/spreadsheets/d/1Yj_ptqi66GCucihVvJfMjLAmec39IyEx_6qawtMGysU/edit?usp=sharing"",""สบก!BB78"")"),63967)</f>
        <v>63967</v>
      </c>
      <c r="O122" s="169">
        <f ca="1">IF(L122&gt;0,N122*100/L122,0)</f>
        <v>98.577592849437508</v>
      </c>
      <c r="P122" s="169">
        <f ca="1">IF(M122&gt;0,N122*100/M122,0)</f>
        <v>98.577592849437508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IFERROR(__xludf.DUMMYFUNCTION("IMPORTRANGE(""https://docs.google.com/spreadsheets/d/1Yj_ptqi66GCucihVvJfMjLAmec39IyEx_6qawtMGysU/edit?usp=sharing"",""สบก!AX78"")"),64890)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299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IFERROR(__xludf.DUMMYFUNCTION("IMPORTRANGE(""https://docs.google.com/spreadsheets/d/1SX6NBoVAgQJ6U1MVXOaj8PK2l7WJ3RER9xtqwdhxkhw/edit?usp=sharing"",""สุพรรณบุรี!J65"")"),0)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IFERROR(__xludf.DUMMYFUNCTION("IMPORTRANGE(""https://docs.google.com/spreadsheets/d/1SX6NBoVAgQJ6U1MVXOaj8PK2l7WJ3RER9xtqwdhxkhw/edit?usp=sharing"",""สุพรรณบุรี!I68"")"),0)</f>
        <v>0</v>
      </c>
      <c r="J138" s="267">
        <f ca="1">IFERROR(__xludf.DUMMYFUNCTION("IMPORTRANGE(""https://docs.google.com/spreadsheets/d/1SX6NBoVAgQJ6U1MVXOaj8PK2l7WJ3RER9xtqwdhxkhw/edit?usp=sharing"",""สุพรรณบุรี!J68"")"),0)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30500</v>
      </c>
      <c r="M140" s="152">
        <f t="shared" ca="1" si="64"/>
        <v>122755</v>
      </c>
      <c r="N140" s="152">
        <f t="shared" ca="1" si="64"/>
        <v>120880</v>
      </c>
      <c r="O140" s="151">
        <f t="shared" ref="O140:O142" ca="1" si="65">IF(L140&gt;0,N140*100/L140,0)</f>
        <v>396.32786885245901</v>
      </c>
      <c r="P140" s="151">
        <f t="shared" ref="P140:P142" ca="1" si="66">IF(M140&gt;0,N140*100/M140,0)</f>
        <v>98.472567308867255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30500</v>
      </c>
      <c r="M142" s="157">
        <f t="shared" ca="1" si="68"/>
        <v>122755</v>
      </c>
      <c r="N142" s="157">
        <f t="shared" ca="1" si="68"/>
        <v>120880</v>
      </c>
      <c r="O142" s="156">
        <f t="shared" ca="1" si="65"/>
        <v>396.32786885245901</v>
      </c>
      <c r="P142" s="156">
        <f t="shared" ca="1" si="66"/>
        <v>98.472567308867255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30500</v>
      </c>
      <c r="M144" s="168">
        <f ca="1">IFERROR(__xludf.DUMMYFUNCTION("IMPORTRANGE(""https://docs.google.com/spreadsheets/d/1Yj_ptqi66GCucihVvJfMjLAmec39IyEx_6qawtMGysU/edit?usp=sharing"",""สบก!BJ78"")"),122755)</f>
        <v>122755</v>
      </c>
      <c r="N144" s="169">
        <f ca="1">IFERROR(__xludf.DUMMYFUNCTION("IMPORTRANGE(""https://docs.google.com/spreadsheets/d/1Yj_ptqi66GCucihVvJfMjLAmec39IyEx_6qawtMGysU/edit?usp=sharing"",""สบก!BK78"")"),120880)</f>
        <v>120880</v>
      </c>
      <c r="O144" s="169">
        <f ca="1">IF(L144&gt;0,N144*100/L144,0)</f>
        <v>396.32786885245901</v>
      </c>
      <c r="P144" s="169">
        <f ca="1">IF(M144&gt;0,N144*100/M144,0)</f>
        <v>98.472567308867255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IFERROR(__xludf.DUMMYFUNCTION("IMPORTRANGE(""https://docs.google.com/spreadsheets/d/1Yj_ptqi66GCucihVvJfMjLAmec39IyEx_6qawtMGysU/edit?usp=sharing"",""สบก!BG78"")"),30500)</f>
        <v>30500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IFERROR(__xludf.DUMMYFUNCTION("IMPORTRANGE(""https://docs.google.com/spreadsheets/d/1SX6NBoVAgQJ6U1MVXOaj8PK2l7WJ3RER9xtqwdhxkhw/edit?usp=sharing"",""สุพรรณบุรี!I74"")"),4)</f>
        <v>4</v>
      </c>
      <c r="J149" s="275">
        <f ca="1">IFERROR(__xludf.DUMMYFUNCTION("IMPORTRANGE(""https://docs.google.com/spreadsheets/d/1SX6NBoVAgQJ6U1MVXOaj8PK2l7WJ3RER9xtqwdhxkhw/edit?usp=sharing"",""สุพรรณบุรี!J74"")"),1)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IFERROR(__xludf.DUMMYFUNCTION("IMPORTRANGE(""https://docs.google.com/spreadsheets/d/1SX6NBoVAgQJ6U1MVXOaj8PK2l7WJ3RER9xtqwdhxkhw/edit?usp=sharing"",""สุพรรณบุรี!J84"")"),53)</f>
        <v>53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IFERROR(__xludf.DUMMYFUNCTION("IMPORTRANGE(""https://docs.google.com/spreadsheets/d/1SX6NBoVAgQJ6U1MVXOaj8PK2l7WJ3RER9xtqwdhxkhw/edit?usp=sharing"",""สุพรรณบุรี!J85"")"),53)</f>
        <v>53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IFERROR(__xludf.DUMMYFUNCTION("IMPORTRANGE(""https://docs.google.com/spreadsheets/d/1SX6NBoVAgQJ6U1MVXOaj8PK2l7WJ3RER9xtqwdhxkhw/edit?usp=sharing"",""สุพรรณบุรี!J88"")"),0)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IFERROR(__xludf.DUMMYFUNCTION("IMPORTRANGE(""https://docs.google.com/spreadsheets/d/1SX6NBoVAgQJ6U1MVXOaj8PK2l7WJ3RER9xtqwdhxkhw/edit?usp=sharing"",""สุพรรณบุรี!I89"")"),1)</f>
        <v>1</v>
      </c>
      <c r="J164" s="284">
        <f ca="1">IFERROR(__xludf.DUMMYFUNCTION("IMPORTRANGE(""https://docs.google.com/spreadsheets/d/1SX6NBoVAgQJ6U1MVXOaj8PK2l7WJ3RER9xtqwdhxkhw/edit?usp=sharing"",""สุพรรณบุรี!J89"")"),1)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IFERROR(__xludf.DUMMYFUNCTION("IMPORTRANGE(""https://docs.google.com/spreadsheets/d/1SX6NBoVAgQJ6U1MVXOaj8PK2l7WJ3RER9xtqwdhxkhw/edit?usp=sharing"",""สุพรรณบุรี!J100"")"),0)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IFERROR(__xludf.DUMMYFUNCTION("IMPORTRANGE(""https://docs.google.com/spreadsheets/d/1SX6NBoVAgQJ6U1MVXOaj8PK2l7WJ3RER9xtqwdhxkhw/edit?usp=sharing"",""สุพรรณบุรี!I101"")"),0)</f>
        <v>0</v>
      </c>
      <c r="J176" s="284">
        <f ca="1">IFERROR(__xludf.DUMMYFUNCTION("IMPORTRANGE(""https://docs.google.com/spreadsheets/d/1SX6NBoVAgQJ6U1MVXOaj8PK2l7WJ3RER9xtqwdhxkhw/edit?usp=sharing"",""สุพรรณบุรี!J101"")"),0)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IFERROR(__xludf.DUMMYFUNCTION("IMPORTRANGE(""https://docs.google.com/spreadsheets/d/1SX6NBoVAgQJ6U1MVXOaj8PK2l7WJ3RER9xtqwdhxkhw/edit?usp=sharing"",""สุพรรณบุรี!J113"")"),0)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IFERROR(__xludf.DUMMYFUNCTION("IMPORTRANGE(""https://docs.google.com/spreadsheets/d/1SX6NBoVAgQJ6U1MVXOaj8PK2l7WJ3RER9xtqwdhxkhw/edit?usp=sharing"",""สุพรรณบุรี!I114"")"),20000)</f>
        <v>20000</v>
      </c>
      <c r="J189" s="284">
        <f ca="1">IFERROR(__xludf.DUMMYFUNCTION("IMPORTRANGE(""https://docs.google.com/spreadsheets/d/1SX6NBoVAgQJ6U1MVXOaj8PK2l7WJ3RER9xtqwdhxkhw/edit?usp=sharing"",""สุพรรณบุรี!J114"")"),0)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IFERROR(__xludf.DUMMYFUNCTION("IMPORTRANGE(""https://docs.google.com/spreadsheets/d/1SX6NBoVAgQJ6U1MVXOaj8PK2l7WJ3RER9xtqwdhxkhw/edit?usp=sharing"",""สุพรรณบุรี!J128"")"),0)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IFERROR(__xludf.DUMMYFUNCTION("IMPORTRANGE(""https://docs.google.com/spreadsheets/d/1SX6NBoVAgQJ6U1MVXOaj8PK2l7WJ3RER9xtqwdhxkhw/edit?usp=sharing"",""สุพรรณบุรี!I129"")"),0)</f>
        <v>0</v>
      </c>
      <c r="J204" s="284">
        <f ca="1">IFERROR(__xludf.DUMMYFUNCTION("IMPORTRANGE(""https://docs.google.com/spreadsheets/d/1SX6NBoVAgQJ6U1MVXOaj8PK2l7WJ3RER9xtqwdhxkhw/edit?usp=sharing"",""สุพรรณบุรี!J129"")"),0)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IFERROR(__xludf.DUMMYFUNCTION("IMPORTRANGE(""https://docs.google.com/spreadsheets/d/1SX6NBoVAgQJ6U1MVXOaj8PK2l7WJ3RER9xtqwdhxkhw/edit?usp=sharing"",""สุพรรณบุรี!J143"")"),0)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IFERROR(__xludf.DUMMYFUNCTION("IMPORTRANGE(""https://docs.google.com/spreadsheets/d/1SX6NBoVAgQJ6U1MVXOaj8PK2l7WJ3RER9xtqwdhxkhw/edit?usp=sharing"",""สุพรรณบุรี!I144"")"),15)</f>
        <v>15</v>
      </c>
      <c r="J219" s="267">
        <f ca="1">IFERROR(__xludf.DUMMYFUNCTION("IMPORTRANGE(""https://docs.google.com/spreadsheets/d/1SX6NBoVAgQJ6U1MVXOaj8PK2l7WJ3RER9xtqwdhxkhw/edit?usp=sharing"",""สุพรรณบุรี!J144"")"),15)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IFERROR(__xludf.DUMMYFUNCTION("IMPORTRANGE(""https://docs.google.com/spreadsheets/d/1SX6NBoVAgQJ6U1MVXOaj8PK2l7WJ3RER9xtqwdhxkhw/edit?usp=sharing"",""สุพรรณบุรี!I149"")"),15)</f>
        <v>15</v>
      </c>
      <c r="J229" s="267">
        <f ca="1">IFERROR(__xludf.DUMMYFUNCTION("IMPORTRANGE(""https://docs.google.com/spreadsheets/d/1SX6NBoVAgQJ6U1MVXOaj8PK2l7WJ3RER9xtqwdhxkhw/edit?usp=sharing"",""สุพรรณบุรี!J149"")"),15)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IFERROR(__xludf.DUMMYFUNCTION("IMPORTRANGE(""https://docs.google.com/spreadsheets/d/1SX6NBoVAgQJ6U1MVXOaj8PK2l7WJ3RER9xtqwdhxkhw/edit?usp=sharing"",""สุพรรณบุรี!J157"")"),0)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IFERROR(__xludf.DUMMYFUNCTION("IMPORTRANGE(""https://docs.google.com/spreadsheets/d/1SX6NBoVAgQJ6U1MVXOaj8PK2l7WJ3RER9xtqwdhxkhw/edit?usp=sharing"",""สุพรรณบุรี!I158"")"),0)</f>
        <v>0</v>
      </c>
      <c r="J238" s="267">
        <f ca="1">IFERROR(__xludf.DUMMYFUNCTION("IMPORTRANGE(""https://docs.google.com/spreadsheets/d/1SX6NBoVAgQJ6U1MVXOaj8PK2l7WJ3RER9xtqwdhxkhw/edit?usp=sharing"",""สุพรรณบุรี!J158"")"),0)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IFERROR(__xludf.DUMMYFUNCTION("IMPORTRANGE(""https://docs.google.com/spreadsheets/d/1SX6NBoVAgQJ6U1MVXOaj8PK2l7WJ3RER9xtqwdhxkhw/edit?usp=sharing"",""สุพรรณบุรี!J166"")"),0)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IFERROR(__xludf.DUMMYFUNCTION("IMPORTRANGE(""https://docs.google.com/spreadsheets/d/1SX6NBoVAgQJ6U1MVXOaj8PK2l7WJ3RER9xtqwdhxkhw/edit?usp=sharing"",""สุพรรณบุรี!I169"")"),20)</f>
        <v>20</v>
      </c>
      <c r="J249" s="316">
        <f ca="1">IFERROR(__xludf.DUMMYFUNCTION("IMPORTRANGE(""https://docs.google.com/spreadsheets/d/1SX6NBoVAgQJ6U1MVXOaj8PK2l7WJ3RER9xtqwdhxkhw/edit?usp=sharing"",""สุพรรณบุรี!J169"")"),20)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40140</v>
      </c>
      <c r="O250" s="151">
        <f t="shared" ref="O250:O252" ca="1" si="78">IF(L250&gt;0,N250*100/L250,0)</f>
        <v>56.218487394957982</v>
      </c>
      <c r="P250" s="151">
        <f t="shared" ref="P250:P252" ca="1" si="79">IF(M250&gt;0,N250*100/M250,0)</f>
        <v>95.571428571428569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40140</v>
      </c>
      <c r="O252" s="156">
        <f t="shared" ca="1" si="78"/>
        <v>56.218487394957982</v>
      </c>
      <c r="P252" s="156">
        <f t="shared" ca="1" si="79"/>
        <v>95.571428571428569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IFERROR(__xludf.DUMMYFUNCTION("IMPORTRANGE(""https://docs.google.com/spreadsheets/d/1Yj_ptqi66GCucihVvJfMjLAmec39IyEx_6qawtMGysU/edit?usp=sharing"",""สบก!CB78"")"),42000)</f>
        <v>42000</v>
      </c>
      <c r="N254" s="169">
        <f ca="1">IFERROR(__xludf.DUMMYFUNCTION("IMPORTRANGE(""https://docs.google.com/spreadsheets/d/1Yj_ptqi66GCucihVvJfMjLAmec39IyEx_6qawtMGysU/edit?usp=sharing"",""สบก!CC78"")"),40140)</f>
        <v>40140</v>
      </c>
      <c r="O254" s="169">
        <f ca="1">IF(L254&gt;0,N254*100/L254,0)</f>
        <v>56.218487394957982</v>
      </c>
      <c r="P254" s="169">
        <f ca="1">IF(M254&gt;0,N254*100/M254,0)</f>
        <v>95.571428571428569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IFERROR(__xludf.DUMMYFUNCTION("IMPORTRANGE(""https://docs.google.com/spreadsheets/d/1SX6NBoVAgQJ6U1MVXOaj8PK2l7WJ3RER9xtqwdhxkhw/edit?usp=sharing"",""สุพรรณบุรี!J184"")"),0)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IFERROR(__xludf.DUMMYFUNCTION("IMPORTRANGE(""https://docs.google.com/spreadsheets/d/1SX6NBoVAgQJ6U1MVXOaj8PK2l7WJ3RER9xtqwdhxkhw/edit?usp=sharing"",""สุพรรณบุรี!I185"")"),15)</f>
        <v>15</v>
      </c>
      <c r="J270" s="316">
        <f ca="1">IFERROR(__xludf.DUMMYFUNCTION("IMPORTRANGE(""https://docs.google.com/spreadsheets/d/1SX6NBoVAgQJ6U1MVXOaj8PK2l7WJ3RER9xtqwdhxkhw/edit?usp=sharing"",""สุพรรณบุรี!J185"")"),15)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74159</v>
      </c>
      <c r="O271" s="151">
        <f t="shared" ref="O271:O273" ca="1" si="84">IF(L271&gt;0,N271*100/L271,0)</f>
        <v>70.159886471144745</v>
      </c>
      <c r="P271" s="151">
        <f t="shared" ref="P271:P273" ca="1" si="85">IF(M271&gt;0,N271*100/M271,0)</f>
        <v>92.698750000000004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105700</v>
      </c>
      <c r="M273" s="157">
        <f t="shared" ca="1" si="87"/>
        <v>80000</v>
      </c>
      <c r="N273" s="157">
        <f t="shared" ca="1" si="87"/>
        <v>74159</v>
      </c>
      <c r="O273" s="156">
        <f t="shared" ca="1" si="84"/>
        <v>70.159886471144745</v>
      </c>
      <c r="P273" s="156">
        <f t="shared" ca="1" si="85"/>
        <v>92.698750000000004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105700</v>
      </c>
      <c r="M275" s="168">
        <f ca="1">IFERROR(__xludf.DUMMYFUNCTION("IMPORTRANGE(""https://docs.google.com/spreadsheets/d/1Yj_ptqi66GCucihVvJfMjLAmec39IyEx_6qawtMGysU/edit?usp=sharing"",""สบก!CK78"")"),80000)</f>
        <v>80000</v>
      </c>
      <c r="N275" s="169">
        <f ca="1">IFERROR(__xludf.DUMMYFUNCTION("IMPORTRANGE(""https://docs.google.com/spreadsheets/d/1Yj_ptqi66GCucihVvJfMjLAmec39IyEx_6qawtMGysU/edit?usp=sharing"",""สบก!CL78"")"),74159)</f>
        <v>74159</v>
      </c>
      <c r="O275" s="169">
        <f ca="1">IF(L275&gt;0,N275*100/L275,0)</f>
        <v>70.159886471144745</v>
      </c>
      <c r="P275" s="169">
        <f ca="1">IF(M275&gt;0,N275*100/M275,0)</f>
        <v>92.698750000000004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IFERROR(__xludf.DUMMYFUNCTION("IMPORTRANGE(""https://docs.google.com/spreadsheets/d/1Yj_ptqi66GCucihVvJfMjLAmec39IyEx_6qawtMGysU/edit?usp=sharing"",""สบก!CH78"")"),105700)</f>
        <v>105700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IFERROR(__xludf.DUMMYFUNCTION("IMPORTRANGE(""https://docs.google.com/spreadsheets/d/1SX6NBoVAgQJ6U1MVXOaj8PK2l7WJ3RER9xtqwdhxkhw/edit?usp=sharing"",""สุพรรณบุรี!J197"")"),0)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IFERROR(__xludf.DUMMYFUNCTION("IMPORTRANGE(""https://docs.google.com/spreadsheets/d/1SX6NBoVAgQJ6U1MVXOaj8PK2l7WJ3RER9xtqwdhxkhw/edit?usp=sharing"",""สุพรรณบุรี!I199"")"),0)</f>
        <v>0</v>
      </c>
      <c r="J289" s="316">
        <f ca="1">IFERROR(__xludf.DUMMYFUNCTION("IMPORTRANGE(""https://docs.google.com/spreadsheets/d/1SX6NBoVAgQJ6U1MVXOaj8PK2l7WJ3RER9xtqwdhxkhw/edit?usp=sharing"",""สุพรรณบุรี!J199"")"),0)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IFERROR(__xludf.DUMMYFUNCTION("IMPORTRANGE(""https://docs.google.com/spreadsheets/d/1SX6NBoVAgQJ6U1MVXOaj8PK2l7WJ3RER9xtqwdhxkhw/edit?usp=sharing"",""สุพรรณบุรี!J213"")"),0)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IFERROR(__xludf.DUMMYFUNCTION("IMPORTRANGE(""https://docs.google.com/spreadsheets/d/1SX6NBoVAgQJ6U1MVXOaj8PK2l7WJ3RER9xtqwdhxkhw/edit?usp=sharing"",""สุพรรณบุรี!I214"")"),0)</f>
        <v>0</v>
      </c>
      <c r="J309" s="333">
        <f ca="1">IFERROR(__xludf.DUMMYFUNCTION("IMPORTRANGE(""https://docs.google.com/spreadsheets/d/1SX6NBoVAgQJ6U1MVXOaj8PK2l7WJ3RER9xtqwdhxkhw/edit?usp=sharing"",""สุพรรณบุรี!J214"")"),0)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IFERROR(__xludf.DUMMYFUNCTION("IMPORTRANGE(""https://docs.google.com/spreadsheets/d/1SX6NBoVAgQJ6U1MVXOaj8PK2l7WJ3RER9xtqwdhxkhw/edit?usp=sharing"",""สุพรรณบุรี!J226"")"),0)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IFERROR(__xludf.DUMMYFUNCTION("IMPORTRANGE(""https://docs.google.com/spreadsheets/d/1SX6NBoVAgQJ6U1MVXOaj8PK2l7WJ3RER9xtqwdhxkhw/edit?usp=sharing"",""สุพรรณบุรี!I228"")"),322)</f>
        <v>322</v>
      </c>
      <c r="J328" s="339">
        <f ca="1">IFERROR(__xludf.DUMMYFUNCTION("IMPORTRANGE(""https://docs.google.com/spreadsheets/d/1SX6NBoVAgQJ6U1MVXOaj8PK2l7WJ3RER9xtqwdhxkhw/edit?usp=sharing"",""สุพรรณบุรี!J228"")"),265)</f>
        <v>265</v>
      </c>
      <c r="K328" s="317">
        <f ca="1">IF(I328&gt;0,J328*100/I328,0)</f>
        <v>82.298136645962728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981940</v>
      </c>
      <c r="M329" s="152">
        <f t="shared" ca="1" si="98"/>
        <v>770100</v>
      </c>
      <c r="N329" s="152">
        <f t="shared" ca="1" si="98"/>
        <v>485905.06</v>
      </c>
      <c r="O329" s="151">
        <f t="shared" ref="O329:O331" ca="1" si="99">IF(L329&gt;0,N329*100/L329,0)</f>
        <v>49.484190480070069</v>
      </c>
      <c r="P329" s="151">
        <f t="shared" ref="P329:P331" ca="1" si="100">IF(M329&gt;0,N329*100/M329,0)</f>
        <v>63.096358914426695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981940</v>
      </c>
      <c r="M331" s="157">
        <f t="shared" ca="1" si="102"/>
        <v>770100</v>
      </c>
      <c r="N331" s="157">
        <f t="shared" ca="1" si="102"/>
        <v>485905.06</v>
      </c>
      <c r="O331" s="156">
        <f t="shared" ca="1" si="99"/>
        <v>49.484190480070069</v>
      </c>
      <c r="P331" s="156">
        <f t="shared" ca="1" si="100"/>
        <v>63.096358914426695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971940</v>
      </c>
      <c r="M333" s="168">
        <f ca="1">IFERROR(__xludf.DUMMYFUNCTION("IMPORTRANGE(""https://docs.google.com/spreadsheets/d/1Yj_ptqi66GCucihVvJfMjLAmec39IyEx_6qawtMGysU/edit?usp=sharing"",""สบก!DL78"")"),760100)</f>
        <v>760100</v>
      </c>
      <c r="N333" s="169">
        <f ca="1">IFERROR(__xludf.DUMMYFUNCTION("IMPORTRANGE(""https://docs.google.com/spreadsheets/d/1Yj_ptqi66GCucihVvJfMjLAmec39IyEx_6qawtMGysU/edit?usp=sharing"",""สบก!DM78"")"),475905.06)</f>
        <v>475905.06</v>
      </c>
      <c r="O333" s="169">
        <f ca="1">IF(L333&gt;0,N333*100/L333,0)</f>
        <v>48.964448422742144</v>
      </c>
      <c r="P333" s="169">
        <f ca="1">IF(M333&gt;0,N333*100/M333,0)</f>
        <v>62.610848572556243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IFERROR(__xludf.DUMMYFUNCTION("IMPORTRANGE(""https://docs.google.com/spreadsheets/d/1Yj_ptqi66GCucihVvJfMjLAmec39IyEx_6qawtMGysU/edit?usp=sharing"",""สบก!DI78"")"),388740)</f>
        <v>388740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IFERROR(__xludf.DUMMYFUNCTION("IMPORTRANGE(""https://docs.google.com/spreadsheets/d/1SX6NBoVAgQJ6U1MVXOaj8PK2l7WJ3RER9xtqwdhxkhw/edit?usp=sharing"",""สุพรรณบุรี!J234"")"),176)</f>
        <v>176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IFERROR(__xludf.DUMMYFUNCTION("IMPORTRANGE(""https://docs.google.com/spreadsheets/d/1SX6NBoVAgQJ6U1MVXOaj8PK2l7WJ3RER9xtqwdhxkhw/edit?usp=sharing"",""สุพรรณบุรี!I235"")"),1500)</f>
        <v>1500</v>
      </c>
      <c r="J340" s="188">
        <f ca="1">IFERROR(__xludf.DUMMYFUNCTION("IMPORTRANGE(""https://docs.google.com/spreadsheets/d/1SX6NBoVAgQJ6U1MVXOaj8PK2l7WJ3RER9xtqwdhxkhw/edit?usp=sharing"",""สุพรรณบุรี!J235"")"),1152.34)</f>
        <v>1152.3399999999999</v>
      </c>
      <c r="K340" s="342">
        <f t="shared" ca="1" si="103"/>
        <v>76.822666666666663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IFERROR(__xludf.DUMMYFUNCTION("IMPORTRANGE(""https://docs.google.com/spreadsheets/d/1SX6NBoVAgQJ6U1MVXOaj8PK2l7WJ3RER9xtqwdhxkhw/edit?usp=sharing"",""สุพรรณบุรี!I236"")"),322)</f>
        <v>322</v>
      </c>
      <c r="J341" s="188">
        <f ca="1">IFERROR(__xludf.DUMMYFUNCTION("IMPORTRANGE(""https://docs.google.com/spreadsheets/d/1SX6NBoVAgQJ6U1MVXOaj8PK2l7WJ3RER9xtqwdhxkhw/edit?usp=sharing"",""สุพรรณบุรี!J236"")"),256)</f>
        <v>256</v>
      </c>
      <c r="K341" s="342">
        <f t="shared" ca="1" si="103"/>
        <v>79.503105590062106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IFERROR(__xludf.DUMMYFUNCTION("IMPORTRANGE(""https://docs.google.com/spreadsheets/d/1SX6NBoVAgQJ6U1MVXOaj8PK2l7WJ3RER9xtqwdhxkhw/edit?usp=sharing"",""สุพรรณบุรี!J237"")"),2827.7)</f>
        <v>2827.7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IFERROR(__xludf.DUMMYFUNCTION("IMPORTRANGE(""https://docs.google.com/spreadsheets/d/1SX6NBoVAgQJ6U1MVXOaj8PK2l7WJ3RER9xtqwdhxkhw/edit?usp=sharing"",""สุพรรณบุรี!I238"")"),322)</f>
        <v>322</v>
      </c>
      <c r="J343" s="188">
        <f ca="1">IFERROR(__xludf.DUMMYFUNCTION("IMPORTRANGE(""https://docs.google.com/spreadsheets/d/1SX6NBoVAgQJ6U1MVXOaj8PK2l7WJ3RER9xtqwdhxkhw/edit?usp=sharing"",""สุพรรณบุรี!J238"")"),4)</f>
        <v>4</v>
      </c>
      <c r="K343" s="342">
        <f t="shared" ca="1" si="103"/>
        <v>1.2422360248447204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IFERROR(__xludf.DUMMYFUNCTION("IMPORTRANGE(""https://docs.google.com/spreadsheets/d/1SX6NBoVAgQJ6U1MVXOaj8PK2l7WJ3RER9xtqwdhxkhw/edit?usp=sharing"",""สุพรรณบุรี!J239"")"),14.96)</f>
        <v>14.96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IFERROR(__xludf.DUMMYFUNCTION("IMPORTRANGE(""https://docs.google.com/spreadsheets/d/1SX6NBoVAgQJ6U1MVXOaj8PK2l7WJ3RER9xtqwdhxkhw/edit?usp=sharing"",""สุพรรณบุรี!I240"")"),322)</f>
        <v>322</v>
      </c>
      <c r="J345" s="188">
        <f ca="1">IFERROR(__xludf.DUMMYFUNCTION("IMPORTRANGE(""https://docs.google.com/spreadsheets/d/1SX6NBoVAgQJ6U1MVXOaj8PK2l7WJ3RER9xtqwdhxkhw/edit?usp=sharing"",""สุพรรณบุรี!J240"")"),265)</f>
        <v>265</v>
      </c>
      <c r="K345" s="342">
        <f t="shared" ca="1" si="103"/>
        <v>82.298136645962728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IFERROR(__xludf.DUMMYFUNCTION("IMPORTRANGE(""https://docs.google.com/spreadsheets/d/1SX6NBoVAgQJ6U1MVXOaj8PK2l7WJ3RER9xtqwdhxkhw/edit?usp=sharing"",""สุพรรณบุรี!J241"")"),2839.35)</f>
        <v>2839.35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IFERROR(__xludf.DUMMYFUNCTION("IMPORTRANGE(""https://docs.google.com/spreadsheets/d/1SX6NBoVAgQJ6U1MVXOaj8PK2l7WJ3RER9xtqwdhxkhw/edit?usp=sharing"",""สุพรรณบุรี!L242"")"),2600695)</f>
        <v>2600695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IFERROR(__xludf.DUMMYFUNCTION("IMPORTRANGE(""https://docs.google.com/spreadsheets/d/1SX6NBoVAgQJ6U1MVXOaj8PK2l7WJ3RER9xtqwdhxkhw/edit?usp=sharing"",""สุพรรณบุรี!M242"")"),1228984.93)</f>
        <v>1228984.93</v>
      </c>
      <c r="O347" s="358">
        <f ca="1">+IF(L347&gt;0,N347*100/L347,0)</f>
        <v>47.256019256391077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IFERROR(__xludf.DUMMYFUNCTION("IMPORTRANGE(""https://docs.google.com/spreadsheets/d/1SX6NBoVAgQJ6U1MVXOaj8PK2l7WJ3RER9xtqwdhxkhw/edit?usp=sharing"",""สุพรรณบุรี!M244"")"),195420)</f>
        <v>195420</v>
      </c>
      <c r="O349" s="373">
        <f ca="1">+IF(L349&gt;0,N349*100/L349,0)</f>
        <v>66.055976203353168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IFERROR(__xludf.DUMMYFUNCTION("IMPORTRANGE(""https://docs.google.com/spreadsheets/d/1SX6NBoVAgQJ6U1MVXOaj8PK2l7WJ3RER9xtqwdhxkhw/edit?usp=sharing"",""สุพรรณบุรี!M247"")"),195420)</f>
        <v>195420</v>
      </c>
      <c r="O352" s="165">
        <f t="shared" ca="1" si="105"/>
        <v>66.055976203353168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IFERROR(__xludf.DUMMYFUNCTION("IMPORTRANGE(""https://docs.google.com/spreadsheets/d/1SX6NBoVAgQJ6U1MVXOaj8PK2l7WJ3RER9xtqwdhxkhw/edit?usp=sharing"",""สุพรรณบุรี!L249"")"),295840)</f>
        <v>295840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IFERROR(__xludf.DUMMYFUNCTION("IMPORTRANGE(""https://docs.google.com/spreadsheets/d/1SX6NBoVAgQJ6U1MVXOaj8PK2l7WJ3RER9xtqwdhxkhw/edit?usp=sharing"",""สุพรรณบุรี!M249"")"),195420)</f>
        <v>195420</v>
      </c>
      <c r="O354" s="169">
        <f t="shared" ca="1" si="105"/>
        <v>66.055976203353168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IFERROR(__xludf.DUMMYFUNCTION("IMPORTRANGE(""https://docs.google.com/spreadsheets/d/1SX6NBoVAgQJ6U1MVXOaj8PK2l7WJ3RER9xtqwdhxkhw/edit?usp=sharing"",""สุพรรณบุรี!M252"")"),66000)</f>
        <v>66000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IFERROR(__xludf.DUMMYFUNCTION("IMPORTRANGE(""https://docs.google.com/spreadsheets/d/1SX6NBoVAgQJ6U1MVXOaj8PK2l7WJ3RER9xtqwdhxkhw/edit?usp=sharing"",""สุพรรณบุรี!M253"")"),11640)</f>
        <v>11640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IFERROR(__xludf.DUMMYFUNCTION("IMPORTRANGE(""https://docs.google.com/spreadsheets/d/1SX6NBoVAgQJ6U1MVXOaj8PK2l7WJ3RER9xtqwdhxkhw/edit?usp=sharing"",""สุพรรณบุรี!J274"")"),0)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IFERROR(__xludf.DUMMYFUNCTION("IMPORTRANGE(""https://docs.google.com/spreadsheets/d/1SX6NBoVAgQJ6U1MVXOaj8PK2l7WJ3RER9xtqwdhxkhw/edit?usp=sharing"",""สุพรรณบุรี!M275"")"),314661.95)</f>
        <v>314661.95</v>
      </c>
      <c r="O380" s="373">
        <f ca="1">+IF(L380&gt;0,N380*100/L380,0)</f>
        <v>30.593663710963327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IFERROR(__xludf.DUMMYFUNCTION("IMPORTRANGE(""https://docs.google.com/spreadsheets/d/1SX6NBoVAgQJ6U1MVXOaj8PK2l7WJ3RER9xtqwdhxkhw/edit?usp=sharing"",""สุพรรณบุรี!M278"")"),314661.95)</f>
        <v>314661.95</v>
      </c>
      <c r="O383" s="165">
        <f t="shared" ca="1" si="109"/>
        <v>30.593663710963327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IFERROR(__xludf.DUMMYFUNCTION("IMPORTRANGE(""https://docs.google.com/spreadsheets/d/1SX6NBoVAgQJ6U1MVXOaj8PK2l7WJ3RER9xtqwdhxkhw/edit?usp=sharing"",""สุพรรณบุรี!M280"")"),314661.95)</f>
        <v>314661.95</v>
      </c>
      <c r="O385" s="169">
        <f t="shared" ca="1" si="109"/>
        <v>30.593663710963327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IFERROR(__xludf.DUMMYFUNCTION("IMPORTRANGE(""https://docs.google.com/spreadsheets/d/1SX6NBoVAgQJ6U1MVXOaj8PK2l7WJ3RER9xtqwdhxkhw/edit?usp=sharing"",""สุพรรณบุรี!M283"")"),89741.95)</f>
        <v>89741.95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IFERROR(__xludf.DUMMYFUNCTION("IMPORTRANGE(""https://docs.google.com/spreadsheets/d/1SX6NBoVAgQJ6U1MVXOaj8PK2l7WJ3RER9xtqwdhxkhw/edit?usp=sharing"",""สุพรรณบุรี!M284"")"),26920)</f>
        <v>26920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IFERROR(__xludf.DUMMYFUNCTION("IMPORTRANGE(""https://docs.google.com/spreadsheets/d/1SX6NBoVAgQJ6U1MVXOaj8PK2l7WJ3RER9xtqwdhxkhw/edit?usp=sharing"",""สุพรรณบุรี!J295"")"),0)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IFERROR(__xludf.DUMMYFUNCTION("IMPORTRANGE(""https://docs.google.com/spreadsheets/d/1SX6NBoVAgQJ6U1MVXOaj8PK2l7WJ3RER9xtqwdhxkhw/edit?usp=sharing"",""สุพรรณบุรี!J296"")"),30)</f>
        <v>30</v>
      </c>
      <c r="K401" s="372">
        <f t="shared" ref="K401:K402" ca="1" si="111">IF(I401&gt;0,J401*100/I401,0)</f>
        <v>16.666666666666668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IFERROR(__xludf.DUMMYFUNCTION("IMPORTRANGE(""https://docs.google.com/spreadsheets/d/1SX6NBoVAgQJ6U1MVXOaj8PK2l7WJ3RER9xtqwdhxkhw/edit?usp=sharing"",""สุพรรณบุรี!M296"")"),138760)</f>
        <v>138760</v>
      </c>
      <c r="O401" s="373">
        <f ca="1">+IF(L401&gt;0,N401*100/L401,0)</f>
        <v>74.386190629355639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IFERROR(__xludf.DUMMYFUNCTION("IMPORTRANGE(""https://docs.google.com/spreadsheets/d/1SX6NBoVAgQJ6U1MVXOaj8PK2l7WJ3RER9xtqwdhxkhw/edit?usp=sharing"",""สุพรรณบุรี!M299"")"),138760)</f>
        <v>138760</v>
      </c>
      <c r="O404" s="169">
        <f t="shared" ca="1" si="112"/>
        <v>74.386190629355639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IFERROR(__xludf.DUMMYFUNCTION("IMPORTRANGE(""https://docs.google.com/spreadsheets/d/1SX6NBoVAgQJ6U1MVXOaj8PK2l7WJ3RER9xtqwdhxkhw/edit?usp=sharing"",""สุพรรณบุรี!M301"")"),138760)</f>
        <v>138760</v>
      </c>
      <c r="O406" s="169">
        <f t="shared" ca="1" si="112"/>
        <v>74.386190629355639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IFERROR(__xludf.DUMMYFUNCTION("IMPORTRANGE(""https://docs.google.com/spreadsheets/d/1SX6NBoVAgQJ6U1MVXOaj8PK2l7WJ3RER9xtqwdhxkhw/edit?usp=sharing"",""สุพรรณบุรี!M302"")"),121200)</f>
        <v>121200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IFERROR(__xludf.DUMMYFUNCTION("IMPORTRANGE(""https://docs.google.com/spreadsheets/d/1SX6NBoVAgQJ6U1MVXOaj8PK2l7WJ3RER9xtqwdhxkhw/edit?usp=sharing"",""สุพรรณบุรี!M305"")"),17560)</f>
        <v>17560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IFERROR(__xludf.DUMMYFUNCTION("IMPORTRANGE(""https://docs.google.com/spreadsheets/d/1SX6NBoVAgQJ6U1MVXOaj8PK2l7WJ3RER9xtqwdhxkhw/edit?usp=sharing"",""สุพรรณบุรี!J329"")"),0)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IFERROR(__xludf.DUMMYFUNCTION("IMPORTRANGE(""https://docs.google.com/spreadsheets/d/1SX6NBoVAgQJ6U1MVXOaj8PK2l7WJ3RER9xtqwdhxkhw/edit?usp=sharing"",""สุพรรณบุรี!M330"")"),166500)</f>
        <v>166500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IFERROR(__xludf.DUMMYFUNCTION("IMPORTRANGE(""https://docs.google.com/spreadsheets/d/1SX6NBoVAgQJ6U1MVXOaj8PK2l7WJ3RER9xtqwdhxkhw/edit?usp=sharing"",""สุพรรณบุรี!M332"")"),166500)</f>
        <v>166500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IFERROR(__xludf.DUMMYFUNCTION("IMPORTRANGE(""https://docs.google.com/spreadsheets/d/1SX6NBoVAgQJ6U1MVXOaj8PK2l7WJ3RER9xtqwdhxkhw/edit?usp=sharing"",""สุพรรณบุรี!M334"")"),166500)</f>
        <v>166500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IFERROR(__xludf.DUMMYFUNCTION("IMPORTRANGE(""https://docs.google.com/spreadsheets/d/1SX6NBoVAgQJ6U1MVXOaj8PK2l7WJ3RER9xtqwdhxkhw/edit?usp=sharing"",""สุพรรณบุรี!M335"")"),122700)</f>
        <v>122700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IFERROR(__xludf.DUMMYFUNCTION("IMPORTRANGE(""https://docs.google.com/spreadsheets/d/1SX6NBoVAgQJ6U1MVXOaj8PK2l7WJ3RER9xtqwdhxkhw/edit?usp=sharing"",""สุพรรณบุรี!M338"")"),43800)</f>
        <v>43800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IFERROR(__xludf.DUMMYFUNCTION("IMPORTRANGE(""https://docs.google.com/spreadsheets/d/1SX6NBoVAgQJ6U1MVXOaj8PK2l7WJ3RER9xtqwdhxkhw/edit?usp=sharing"",""สุพรรณบุรี!J349"")"),0)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IFERROR(__xludf.DUMMYFUNCTION("IMPORTRANGE(""https://docs.google.com/spreadsheets/d/1SX6NBoVAgQJ6U1MVXOaj8PK2l7WJ3RER9xtqwdhxkhw/edit?usp=sharing"",""สุพรรณบุรี!L350"")"),443595)</f>
        <v>443595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IFERROR(__xludf.DUMMYFUNCTION("IMPORTRANGE(""https://docs.google.com/spreadsheets/d/1SX6NBoVAgQJ6U1MVXOaj8PK2l7WJ3RER9xtqwdhxkhw/edit?usp=sharing"",""สุพรรณบุรี!M350"")"),143376.729999999)</f>
        <v>143376.72999999899</v>
      </c>
      <c r="O455" s="373">
        <f t="shared" ref="O455:O459" ca="1" si="116">+IF(L455&gt;0,N455*100/L455,0)</f>
        <v>32.321538791014099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IFERROR(__xludf.DUMMYFUNCTION("IMPORTRANGE(""https://docs.google.com/spreadsheets/d/1SX6NBoVAgQJ6U1MVXOaj8PK2l7WJ3RER9xtqwdhxkhw/edit?usp=sharing"",""สุพรรณบุรี!L352"")"),443595)</f>
        <v>443595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IFERROR(__xludf.DUMMYFUNCTION("IMPORTRANGE(""https://docs.google.com/spreadsheets/d/1SX6NBoVAgQJ6U1MVXOaj8PK2l7WJ3RER9xtqwdhxkhw/edit?usp=sharing"",""สุพรรณบุรี!M352"")"),143376.729999999)</f>
        <v>143376.72999999899</v>
      </c>
      <c r="O457" s="169">
        <f t="shared" ca="1" si="116"/>
        <v>32.321538791014099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IFERROR(__xludf.DUMMYFUNCTION("IMPORTRANGE(""https://docs.google.com/spreadsheets/d/1SX6NBoVAgQJ6U1MVXOaj8PK2l7WJ3RER9xtqwdhxkhw/edit?usp=sharing"",""สุพรรณบุรี!L354"")"),443595)</f>
        <v>443595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IFERROR(__xludf.DUMMYFUNCTION("IMPORTRANGE(""https://docs.google.com/spreadsheets/d/1SX6NBoVAgQJ6U1MVXOaj8PK2l7WJ3RER9xtqwdhxkhw/edit?usp=sharing"",""สุพรรณบุรี!M354"")"),143376.729999999)</f>
        <v>143376.72999999899</v>
      </c>
      <c r="O459" s="169">
        <f t="shared" ca="1" si="116"/>
        <v>32.321538791014099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IFERROR(__xludf.DUMMYFUNCTION("IMPORTRANGE(""https://docs.google.com/spreadsheets/d/1SX6NBoVAgQJ6U1MVXOaj8PK2l7WJ3RER9xtqwdhxkhw/edit?usp=sharing"",""สุพรรณบุรี!M357"")"),82838.73)</f>
        <v>82838.73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IFERROR(__xludf.DUMMYFUNCTION("IMPORTRANGE(""https://docs.google.com/spreadsheets/d/1SX6NBoVAgQJ6U1MVXOaj8PK2l7WJ3RER9xtqwdhxkhw/edit?usp=sharing"",""สุพรรณบุรี!M358"")"),60538)</f>
        <v>60538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IFERROR(__xludf.DUMMYFUNCTION("IMPORTRANGE(""https://docs.google.com/spreadsheets/d/1SX6NBoVAgQJ6U1MVXOaj8PK2l7WJ3RER9xtqwdhxkhw/edit?usp=sharing"",""สุพรรณบุรี!I359"")"),37350)</f>
        <v>37350</v>
      </c>
      <c r="J464" s="267">
        <f ca="1">IFERROR(__xludf.DUMMYFUNCTION("IMPORTRANGE(""https://docs.google.com/spreadsheets/d/1SX6NBoVAgQJ6U1MVXOaj8PK2l7WJ3RER9xtqwdhxkhw/edit?usp=sharing"",""สุพรรณบุรี!J359"")"),37350)</f>
        <v>37350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IFERROR(__xludf.DUMMYFUNCTION("IMPORTRANGE(""https://docs.google.com/spreadsheets/d/1SX6NBoVAgQJ6U1MVXOaj8PK2l7WJ3RER9xtqwdhxkhw/edit?usp=sharing"",""สุพรรณบุรี!I411"")"),0)</f>
        <v>0</v>
      </c>
      <c r="J516" s="267">
        <f ca="1">IFERROR(__xludf.DUMMYFUNCTION("IMPORTRANGE(""https://docs.google.com/spreadsheets/d/1SX6NBoVAgQJ6U1MVXOaj8PK2l7WJ3RER9xtqwdhxkhw/edit?usp=sharing"",""สุพรรณบุรี!J411"")"),0)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IFERROR(__xludf.DUMMYFUNCTION("IMPORTRANGE(""https://docs.google.com/spreadsheets/d/1SX6NBoVAgQJ6U1MVXOaj8PK2l7WJ3RER9xtqwdhxkhw/edit?usp=sharing"",""สุพรรณบุรี!I412"")"),0)</f>
        <v>0</v>
      </c>
      <c r="J517" s="284">
        <f ca="1">IFERROR(__xludf.DUMMYFUNCTION("IMPORTRANGE(""https://docs.google.com/spreadsheets/d/1SX6NBoVAgQJ6U1MVXOaj8PK2l7WJ3RER9xtqwdhxkhw/edit?usp=sharing"",""สุพรรณบุรี!J412"")"),0)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IFERROR(__xludf.DUMMYFUNCTION("IMPORTRANGE(""https://docs.google.com/spreadsheets/d/1SX6NBoVAgQJ6U1MVXOaj8PK2l7WJ3RER9xtqwdhxkhw/edit?usp=sharing"",""สุพรรณบุรี!I413"")"),0)</f>
        <v>0</v>
      </c>
      <c r="J518" s="284">
        <f ca="1">IFERROR(__xludf.DUMMYFUNCTION("IMPORTRANGE(""https://docs.google.com/spreadsheets/d/1SX6NBoVAgQJ6U1MVXOaj8PK2l7WJ3RER9xtqwdhxkhw/edit?usp=sharing"",""สุพรรณบุรี!J413"")"),0)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IFERROR(__xludf.DUMMYFUNCTION("IMPORTRANGE(""https://docs.google.com/spreadsheets/d/1SX6NBoVAgQJ6U1MVXOaj8PK2l7WJ3RER9xtqwdhxkhw/edit?usp=sharing"",""สุพรรณบุรี!I420"")"),0)</f>
        <v>0</v>
      </c>
      <c r="J525" s="284">
        <f ca="1">IFERROR(__xludf.DUMMYFUNCTION("IMPORTRANGE(""https://docs.google.com/spreadsheets/d/1SX6NBoVAgQJ6U1MVXOaj8PK2l7WJ3RER9xtqwdhxkhw/edit?usp=sharing"",""สุพรรณบุรี!J420"")"),0)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IFERROR(__xludf.DUMMYFUNCTION("IMPORTRANGE(""https://docs.google.com/spreadsheets/d/1SX6NBoVAgQJ6U1MVXOaj8PK2l7WJ3RER9xtqwdhxkhw/edit?usp=sharing"",""สุพรรณบุรี!I421"")"),0)</f>
        <v>0</v>
      </c>
      <c r="J526" s="284">
        <f ca="1">IFERROR(__xludf.DUMMYFUNCTION("IMPORTRANGE(""https://docs.google.com/spreadsheets/d/1SX6NBoVAgQJ6U1MVXOaj8PK2l7WJ3RER9xtqwdhxkhw/edit?usp=sharing"",""สุพรรณบุรี!J421"")"),0)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IFERROR(__xludf.DUMMYFUNCTION("IMPORTRANGE(""https://docs.google.com/spreadsheets/d/1SX6NBoVAgQJ6U1MVXOaj8PK2l7WJ3RER9xtqwdhxkhw/edit?usp=sharing"",""สุพรรณบุรี!M428"")"),30945)</f>
        <v>30945</v>
      </c>
      <c r="O533" s="412">
        <f t="shared" ref="O533:O537" ca="1" si="118">+IF(L533&gt;0,N533*100/L533,0)</f>
        <v>90.11357018054747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IFERROR(__xludf.DUMMYFUNCTION("IMPORTRANGE(""https://docs.google.com/spreadsheets/d/1SX6NBoVAgQJ6U1MVXOaj8PK2l7WJ3RER9xtqwdhxkhw/edit?usp=sharing"",""สุพรรณบุรี!M430"")"),30945)</f>
        <v>30945</v>
      </c>
      <c r="O535" s="169">
        <f t="shared" ca="1" si="118"/>
        <v>90.11357018054747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IFERROR(__xludf.DUMMYFUNCTION("IMPORTRANGE(""https://docs.google.com/spreadsheets/d/1SX6NBoVAgQJ6U1MVXOaj8PK2l7WJ3RER9xtqwdhxkhw/edit?usp=sharing"",""สุพรรณบุรี!M432"")"),30945)</f>
        <v>30945</v>
      </c>
      <c r="O537" s="169">
        <f t="shared" ca="1" si="118"/>
        <v>90.11357018054747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IFERROR(__xludf.DUMMYFUNCTION("IMPORTRANGE(""https://docs.google.com/spreadsheets/d/1SX6NBoVAgQJ6U1MVXOaj8PK2l7WJ3RER9xtqwdhxkhw/edit?usp=sharing"",""สุพรรณบุรี!M436"")"),3000)</f>
        <v>3000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IFERROR(__xludf.DUMMYFUNCTION("IMPORTRANGE(""https://docs.google.com/spreadsheets/d/1SX6NBoVAgQJ6U1MVXOaj8PK2l7WJ3RER9xtqwdhxkhw/edit?usp=sharing"",""สุพรรณบุรี!J459"")"),2726)</f>
        <v>2726</v>
      </c>
      <c r="K564" s="372">
        <f ca="1">IF(I564&gt;0,J564*100/I564,0)</f>
        <v>302.88888888888891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IFERROR(__xludf.DUMMYFUNCTION("IMPORTRANGE(""https://docs.google.com/spreadsheets/d/1SX6NBoVAgQJ6U1MVXOaj8PK2l7WJ3RER9xtqwdhxkhw/edit?usp=sharing"",""สุพรรณบุรี!M459"")"),77675.52)</f>
        <v>77675.520000000004</v>
      </c>
      <c r="O564" s="373">
        <f t="shared" ref="O564:O568" ca="1" si="122">+IF(L564&gt;0,N564*100/L564,0)</f>
        <v>60.646096189881327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IFERROR(__xludf.DUMMYFUNCTION("IMPORTRANGE(""https://docs.google.com/spreadsheets/d/1SX6NBoVAgQJ6U1MVXOaj8PK2l7WJ3RER9xtqwdhxkhw/edit?usp=sharing"",""สุพรรณบุรี!M461"")"),77675.52)</f>
        <v>77675.520000000004</v>
      </c>
      <c r="O566" s="169">
        <f t="shared" ca="1" si="122"/>
        <v>60.646096189881327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IFERROR(__xludf.DUMMYFUNCTION("IMPORTRANGE(""https://docs.google.com/spreadsheets/d/1SX6NBoVAgQJ6U1MVXOaj8PK2l7WJ3RER9xtqwdhxkhw/edit?usp=sharing"",""สุพรรณบุรี!M463"")"),77675.52)</f>
        <v>77675.520000000004</v>
      </c>
      <c r="O568" s="169">
        <f t="shared" ca="1" si="122"/>
        <v>60.646096189881327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IFERROR(__xludf.DUMMYFUNCTION("IMPORTRANGE(""https://docs.google.com/spreadsheets/d/1SX6NBoVAgQJ6U1MVXOaj8PK2l7WJ3RER9xtqwdhxkhw/edit?usp=sharing"",""สุพรรณบุรี!M466"")"),75935.52)</f>
        <v>75935.520000000004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IFERROR(__xludf.DUMMYFUNCTION("IMPORTRANGE(""https://docs.google.com/spreadsheets/d/1SX6NBoVAgQJ6U1MVXOaj8PK2l7WJ3RER9xtqwdhxkhw/edit?usp=sharing"",""สุพรรณบุรี!M467"")"),1740)</f>
        <v>1740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IFERROR(__xludf.DUMMYFUNCTION("IMPORTRANGE(""https://docs.google.com/spreadsheets/d/1SX6NBoVAgQJ6U1MVXOaj8PK2l7WJ3RER9xtqwdhxkhw/edit?usp=sharing"",""สุพรรณบุรี!J468"")"),2726)</f>
        <v>2726</v>
      </c>
      <c r="K573" s="202">
        <f ca="1">IF(I573&gt;0,J573*100/I573,0)</f>
        <v>302.88888888888891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IFERROR(__xludf.DUMMYFUNCTION("IMPORTRANGE(""https://docs.google.com/spreadsheets/d/1SX6NBoVAgQJ6U1MVXOaj8PK2l7WJ3RER9xtqwdhxkhw/edit?usp=sharing"",""สุพรรณบุรี!J471"")"),124)</f>
        <v>124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IFERROR(__xludf.DUMMYFUNCTION("IMPORTRANGE(""https://docs.google.com/spreadsheets/d/1SX6NBoVAgQJ6U1MVXOaj8PK2l7WJ3RER9xtqwdhxkhw/edit?usp=sharing"",""สุพรรณบุรี!J472"")"),2602)</f>
        <v>2602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IFERROR(__xludf.DUMMYFUNCTION("IMPORTRANGE(""https://docs.google.com/spreadsheets/d/1SX6NBoVAgQJ6U1MVXOaj8PK2l7WJ3RER9xtqwdhxkhw/edit?usp=sharing"",""สุพรรณบุรี!J475"")"),16)</f>
        <v>16</v>
      </c>
      <c r="K580" s="372">
        <f ca="1">IF(I580&gt;0,J580*100/I580,0)</f>
        <v>20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IFERROR(__xludf.DUMMYFUNCTION("IMPORTRANGE(""https://docs.google.com/spreadsheets/d/1SX6NBoVAgQJ6U1MVXOaj8PK2l7WJ3RER9xtqwdhxkhw/edit?usp=sharing"",""สุพรรณบุรี!M475"")"),148750.729999999)</f>
        <v>148750.72999999899</v>
      </c>
      <c r="O580" s="373">
        <f t="shared" ref="O580:O584" ca="1" si="124">+IF(L580&gt;0,N580*100/L580,0)</f>
        <v>48.236179389065114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IFERROR(__xludf.DUMMYFUNCTION("IMPORTRANGE(""https://docs.google.com/spreadsheets/d/1SX6NBoVAgQJ6U1MVXOaj8PK2l7WJ3RER9xtqwdhxkhw/edit?usp=sharing"",""สุพรรณบุรี!M477"")"),148750.729999999)</f>
        <v>148750.72999999899</v>
      </c>
      <c r="O582" s="169">
        <f t="shared" ca="1" si="124"/>
        <v>48.236179389065114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IFERROR(__xludf.DUMMYFUNCTION("IMPORTRANGE(""https://docs.google.com/spreadsheets/d/1SX6NBoVAgQJ6U1MVXOaj8PK2l7WJ3RER9xtqwdhxkhw/edit?usp=sharing"",""สุพรรณบุรี!M479"")"),148750.729999999)</f>
        <v>148750.72999999899</v>
      </c>
      <c r="O584" s="169">
        <f t="shared" ca="1" si="124"/>
        <v>48.236179389065114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IFERROR(__xludf.DUMMYFUNCTION("IMPORTRANGE(""https://docs.google.com/spreadsheets/d/1SX6NBoVAgQJ6U1MVXOaj8PK2l7WJ3RER9xtqwdhxkhw/edit?usp=sharing"",""สุพรรณบุรี!M482"")"),79010.73)</f>
        <v>79010.73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IFERROR(__xludf.DUMMYFUNCTION("IMPORTRANGE(""https://docs.google.com/spreadsheets/d/1SX6NBoVAgQJ6U1MVXOaj8PK2l7WJ3RER9xtqwdhxkhw/edit?usp=sharing"",""สุพรรณบุรี!M483"")"),69740)</f>
        <v>69740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IFERROR(__xludf.DUMMYFUNCTION("IMPORTRANGE(""https://docs.google.com/spreadsheets/d/1SX6NBoVAgQJ6U1MVXOaj8PK2l7WJ3RER9xtqwdhxkhw/edit?usp=sharing"",""สุพรรณบุรี!J484"")"),134)</f>
        <v>134</v>
      </c>
      <c r="K589" s="163">
        <f t="shared" ref="K589:K596" ca="1" si="125">IF(I589&gt;0,J589*100/I589,0)</f>
        <v>167.5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IFERROR(__xludf.DUMMYFUNCTION("IMPORTRANGE(""https://docs.google.com/spreadsheets/d/1SX6NBoVAgQJ6U1MVXOaj8PK2l7WJ3RER9xtqwdhxkhw/edit?usp=sharing"",""สุพรรณบุรี!J485"")"),75.5)</f>
        <v>75.5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IFERROR(__xludf.DUMMYFUNCTION("IMPORTRANGE(""https://docs.google.com/spreadsheets/d/1SX6NBoVAgQJ6U1MVXOaj8PK2l7WJ3RER9xtqwdhxkhw/edit?usp=sharing"",""สุพรรณบุรี!J486"")"),98)</f>
        <v>98</v>
      </c>
      <c r="K591" s="163">
        <f t="shared" ca="1" si="125"/>
        <v>122.5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IFERROR(__xludf.DUMMYFUNCTION("IMPORTRANGE(""https://docs.google.com/spreadsheets/d/1SX6NBoVAgQJ6U1MVXOaj8PK2l7WJ3RER9xtqwdhxkhw/edit?usp=sharing"",""สุพรรณบุรี!J487"")"),52.1)</f>
        <v>52.1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IFERROR(__xludf.DUMMYFUNCTION("IMPORTRANGE(""https://docs.google.com/spreadsheets/d/1SX6NBoVAgQJ6U1MVXOaj8PK2l7WJ3RER9xtqwdhxkhw/edit?usp=sharing"",""สุพรรณบุรี!J488"")"),6)</f>
        <v>6</v>
      </c>
      <c r="K593" s="163">
        <f t="shared" ca="1" si="125"/>
        <v>7.5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IFERROR(__xludf.DUMMYFUNCTION("IMPORTRANGE(""https://docs.google.com/spreadsheets/d/1SX6NBoVAgQJ6U1MVXOaj8PK2l7WJ3RER9xtqwdhxkhw/edit?usp=sharing"",""สุพรรณบุรี!J489"")"),5.55)</f>
        <v>5.55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IFERROR(__xludf.DUMMYFUNCTION("IMPORTRANGE(""https://docs.google.com/spreadsheets/d/1SX6NBoVAgQJ6U1MVXOaj8PK2l7WJ3RER9xtqwdhxkhw/edit?usp=sharing"",""สุพรรณบุรี!J490"")"),16)</f>
        <v>16</v>
      </c>
      <c r="K595" s="163">
        <f t="shared" ca="1" si="125"/>
        <v>20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IFERROR(__xludf.DUMMYFUNCTION("IMPORTRANGE(""https://docs.google.com/spreadsheets/d/1SX6NBoVAgQJ6U1MVXOaj8PK2l7WJ3RER9xtqwdhxkhw/edit?usp=sharing"",""สุพรรณบุรี!I491"")"),0)</f>
        <v>0</v>
      </c>
      <c r="J596" s="241">
        <f ca="1">IFERROR(__xludf.DUMMYFUNCTION("IMPORTRANGE(""https://docs.google.com/spreadsheets/d/1SX6NBoVAgQJ6U1MVXOaj8PK2l7WJ3RER9xtqwdhxkhw/edit?usp=sharing"",""สุพรรณบุรี!J491"")"),13.2)</f>
        <v>13.2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7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IFERROR(__xludf.DUMMYFUNCTION("IMPORTRANGE(""https://docs.google.com/spreadsheets/d/1SX6NBoVAgQJ6U1MVXOaj8PK2l7WJ3RER9xtqwdhxkhw/edit?usp=sharing"",""สุพรรณบุรี!M492"")"),12895)</f>
        <v>12895</v>
      </c>
      <c r="O597" s="412">
        <f t="shared" ref="O597:O601" ca="1" si="126">+IF(L597&gt;0,N597*100/L597,0)</f>
        <v>144.88764044943821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IFERROR(__xludf.DUMMYFUNCTION("IMPORTRANGE(""https://docs.google.com/spreadsheets/d/1SX6NBoVAgQJ6U1MVXOaj8PK2l7WJ3RER9xtqwdhxkhw/edit?usp=sharing"",""สุพรรณบุรี!M494"")"),12895)</f>
        <v>12895</v>
      </c>
      <c r="O599" s="169">
        <f t="shared" ca="1" si="126"/>
        <v>144.88764044943821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IFERROR(__xludf.DUMMYFUNCTION("IMPORTRANGE(""https://docs.google.com/spreadsheets/d/1SX6NBoVAgQJ6U1MVXOaj8PK2l7WJ3RER9xtqwdhxkhw/edit?usp=sharing"",""สุพรรณบุรี!M496"")"),12895)</f>
        <v>12895</v>
      </c>
      <c r="O601" s="169">
        <f t="shared" ca="1" si="126"/>
        <v>144.88764044943821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IFERROR(__xludf.DUMMYFUNCTION("IMPORTRANGE(""https://docs.google.com/spreadsheets/d/1SX6NBoVAgQJ6U1MVXOaj8PK2l7WJ3RER9xtqwdhxkhw/edit?usp=sharing"",""สุพรรณบุรี!M500"")"),12895)</f>
        <v>12895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1">
        <f ca="1">IFERROR(__xludf.DUMMYFUNCTION("IMPORTRANGE(""https://docs.google.com/spreadsheets/d/1SX6NBoVAgQJ6U1MVXOaj8PK2l7WJ3RER9xtqwdhxkhw/edit?usp=sharing"",""สุพรรณบุรี!J523"")"),8285000)</f>
        <v>8285000</v>
      </c>
      <c r="K628" s="342">
        <f t="shared" ref="K628:K635" ca="1" si="129">IF(I628&gt;0,J628*100/I628,0)</f>
        <v>38.026426552568246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IFERROR(__xludf.DUMMYFUNCTION("IMPORTRANGE(""https://docs.google.com/spreadsheets/d/1SX6NBoVAgQJ6U1MVXOaj8PK2l7WJ3RER9xtqwdhxkhw/edit?usp=sharing"",""สุพรรณบุรี!I524"")"),514)</f>
        <v>514</v>
      </c>
      <c r="J629" s="341">
        <f ca="1">IFERROR(__xludf.DUMMYFUNCTION("IMPORTRANGE(""https://docs.google.com/spreadsheets/d/1SX6NBoVAgQJ6U1MVXOaj8PK2l7WJ3RER9xtqwdhxkhw/edit?usp=sharing"",""สุพรรณบุรี!J524"")"),202)</f>
        <v>202</v>
      </c>
      <c r="K629" s="342">
        <f t="shared" ca="1" si="129"/>
        <v>39.299610894941637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1">
        <f ca="1">IFERROR(__xludf.DUMMYFUNCTION("IMPORTRANGE(""https://docs.google.com/spreadsheets/d/1SX6NBoVAgQJ6U1MVXOaj8PK2l7WJ3RER9xtqwdhxkhw/edit?usp=sharing"",""สุพรรณบุรี!J525"")"),390997.22)</f>
        <v>390997.22</v>
      </c>
      <c r="K630" s="342">
        <f t="shared" ca="1" si="129"/>
        <v>10.102129404759003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IFERROR(__xludf.DUMMYFUNCTION("IMPORTRANGE(""https://docs.google.com/spreadsheets/d/1SX6NBoVAgQJ6U1MVXOaj8PK2l7WJ3RER9xtqwdhxkhw/edit?usp=sharing"",""สุพรรณบุรี!I526"")"),79)</f>
        <v>79</v>
      </c>
      <c r="J631" s="341">
        <f ca="1">IFERROR(__xludf.DUMMYFUNCTION("IMPORTRANGE(""https://docs.google.com/spreadsheets/d/1SX6NBoVAgQJ6U1MVXOaj8PK2l7WJ3RER9xtqwdhxkhw/edit?usp=sharing"",""สุพรรณบุรี!J526"")"),77)</f>
        <v>77</v>
      </c>
      <c r="K631" s="342">
        <f t="shared" ca="1" si="129"/>
        <v>97.468354430379748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1">
        <f ca="1">IFERROR(__xludf.DUMMYFUNCTION("IMPORTRANGE(""https://docs.google.com/spreadsheets/d/1SX6NBoVAgQJ6U1MVXOaj8PK2l7WJ3RER9xtqwdhxkhw/edit?usp=sharing"",""สุพรรณบุรี!J527"")"),458353.43)</f>
        <v>458353.43</v>
      </c>
      <c r="K632" s="342">
        <f t="shared" ca="1" si="129"/>
        <v>19.663060588010641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IFERROR(__xludf.DUMMYFUNCTION("IMPORTRANGE(""https://docs.google.com/spreadsheets/d/1SX6NBoVAgQJ6U1MVXOaj8PK2l7WJ3RER9xtqwdhxkhw/edit?usp=sharing"",""สุพรรณบุรี!I528"")"),528)</f>
        <v>528</v>
      </c>
      <c r="J633" s="341">
        <f ca="1">IFERROR(__xludf.DUMMYFUNCTION("IMPORTRANGE(""https://docs.google.com/spreadsheets/d/1SX6NBoVAgQJ6U1MVXOaj8PK2l7WJ3RER9xtqwdhxkhw/edit?usp=sharing"",""สุพรรณบุรี!J528"")"),132)</f>
        <v>132</v>
      </c>
      <c r="K633" s="342">
        <f t="shared" ca="1" si="129"/>
        <v>25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1">
        <f ca="1">IFERROR(__xludf.DUMMYFUNCTION("IMPORTRANGE(""https://docs.google.com/spreadsheets/d/1SX6NBoVAgQJ6U1MVXOaj8PK2l7WJ3RER9xtqwdhxkhw/edit?usp=sharing"",""สุพรรณบุรี!J529"")"),6290000)</f>
        <v>6290000</v>
      </c>
      <c r="K634" s="342">
        <f t="shared" ca="1" si="129"/>
        <v>27.419354838709676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IFERROR(__xludf.DUMMYFUNCTION("IMPORTRANGE(""https://docs.google.com/spreadsheets/d/1SX6NBoVAgQJ6U1MVXOaj8PK2l7WJ3RER9xtqwdhxkhw/edit?usp=sharing"",""สุพรรณบุรี!I530"")"),568)</f>
        <v>568</v>
      </c>
      <c r="J635" s="504">
        <f ca="1">IFERROR(__xludf.DUMMYFUNCTION("IMPORTRANGE(""https://docs.google.com/spreadsheets/d/1SX6NBoVAgQJ6U1MVXOaj8PK2l7WJ3RER9xtqwdhxkhw/edit?usp=sharing"",""สุพรรณบุรี!J530"")"),154)</f>
        <v>154</v>
      </c>
      <c r="K635" s="486">
        <f t="shared" ca="1" si="129"/>
        <v>27.112676056338028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48130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48130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48130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IFERROR(__xludf.DUMMYFUNCTION("IMPORTRANGE(""https://docs.google.com/spreadsheets/d/1SX6NBoVAgQJ6U1MVXOaj8PK2l7WJ3RER9xtqwdhxkhw/edit#gid=346597447"",""สุพรรณบุรี!J541"")"),0)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IFERROR(__xludf.DUMMYFUNCTION("IMPORTRANGE(""https://docs.google.com/spreadsheets/d/1SX6NBoVAgQJ6U1MVXOaj8PK2l7WJ3RER9xtqwdhxkhw/edit#gid=346597447"",""สุพรรณบุรี!J542"")"),0)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IFERROR(__xludf.DUMMYFUNCTION("IMPORTRANGE(""https://docs.google.com/spreadsheets/d/1SX6NBoVAgQJ6U1MVXOaj8PK2l7WJ3RER9xtqwdhxkhw/edit#gid=346597447"",""สุพรรณบุรี!I543"")"),0)</f>
        <v>0</v>
      </c>
      <c r="J648" s="536">
        <f ca="1">IFERROR(__xludf.DUMMYFUNCTION("IMPORTRANGE(""https://docs.google.com/spreadsheets/d/1SX6NBoVAgQJ6U1MVXOaj8PK2l7WJ3RER9xtqwdhxkhw/edit#gid=346597447"",""สุพรรณบุรี!J543"")"),0)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IFERROR(__xludf.DUMMYFUNCTION("IMPORTRANGE(""https://docs.google.com/spreadsheets/d/1SX6NBoVAgQJ6U1MVXOaj8PK2l7WJ3RER9xtqwdhxkhw/edit#gid=346597447"",""สุพรรณบุรี!L543"")"),0)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IFERROR(__xludf.DUMMYFUNCTION("IMPORTRANGE(""https://docs.google.com/spreadsheets/d/1SX6NBoVAgQJ6U1MVXOaj8PK2l7WJ3RER9xtqwdhxkhw/edit#gid=346597447"",""สุพรรณบุรี!M543"")"),0)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IFERROR(__xludf.DUMMYFUNCTION("IMPORTRANGE(""https://docs.google.com/spreadsheets/d/1SX6NBoVAgQJ6U1MVXOaj8PK2l7WJ3RER9xtqwdhxkhw/edit#gid=346597447"",""สุพรรณบุรี!I544"")"),0)</f>
        <v>0</v>
      </c>
      <c r="J649" s="536">
        <f ca="1">IFERROR(__xludf.DUMMYFUNCTION("IMPORTRANGE(""https://docs.google.com/spreadsheets/d/1SX6NBoVAgQJ6U1MVXOaj8PK2l7WJ3RER9xtqwdhxkhw/edit#gid=346597447"",""สุพรรณบุรี!J544"")"),0)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IFERROR(__xludf.DUMMYFUNCTION("IMPORTRANGE(""https://docs.google.com/spreadsheets/d/1SX6NBoVAgQJ6U1MVXOaj8PK2l7WJ3RER9xtqwdhxkhw/edit#gid=346597447"",""สุพรรณบุรี!L544"")"),0)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IFERROR(__xludf.DUMMYFUNCTION("IMPORTRANGE(""https://docs.google.com/spreadsheets/d/1SX6NBoVAgQJ6U1MVXOaj8PK2l7WJ3RER9xtqwdhxkhw/edit#gid=346597447"",""สุพรรณบุรี!M544"")"),0)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IFERROR(__xludf.DUMMYFUNCTION("IMPORTRANGE(""https://docs.google.com/spreadsheets/d/1SX6NBoVAgQJ6U1MVXOaj8PK2l7WJ3RER9xtqwdhxkhw/edit#gid=346597447"",""สุพรรณบุรี!I545"")"),30)</f>
        <v>30</v>
      </c>
      <c r="J650" s="536">
        <f ca="1">IFERROR(__xludf.DUMMYFUNCTION("IMPORTRANGE(""https://docs.google.com/spreadsheets/d/1SX6NBoVAgQJ6U1MVXOaj8PK2l7WJ3RER9xtqwdhxkhw/edit#gid=346597447"",""สุพรรณบุรี!J545"")"),0)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IFERROR(__xludf.DUMMYFUNCTION("IMPORTRANGE(""https://docs.google.com/spreadsheets/d/1SX6NBoVAgQJ6U1MVXOaj8PK2l7WJ3RER9xtqwdhxkhw/edit#gid=346597447"",""สุพรรณบุรี!L545"")"),150)</f>
        <v>150</v>
      </c>
      <c r="M650" s="521"/>
      <c r="N650" s="538">
        <f ca="1">IFERROR(__xludf.DUMMYFUNCTION("IMPORTRANGE(""https://docs.google.com/spreadsheets/d/1SX6NBoVAgQJ6U1MVXOaj8PK2l7WJ3RER9xtqwdhxkhw/edit#gid=346597447"",""สุพรรณบุรี!M545"")"),0)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IFERROR(__xludf.DUMMYFUNCTION("IMPORTRANGE(""https://docs.google.com/spreadsheets/d/1SX6NBoVAgQJ6U1MVXOaj8PK2l7WJ3RER9xtqwdhxkhw/edit#gid=346597447"",""สุพรรณบุรี!I546"")"),300)</f>
        <v>300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IFERROR(__xludf.DUMMYFUNCTION("IMPORTRANGE(""https://docs.google.com/spreadsheets/d/1SX6NBoVAgQJ6U1MVXOaj8PK2l7WJ3RER9xtqwdhxkhw/edit#gid=346597447"",""สุพรรณบุรี!L546"")"),7500)</f>
        <v>7500</v>
      </c>
      <c r="M651" s="521"/>
      <c r="N651" s="538">
        <f ca="1">IFERROR(__xludf.DUMMYFUNCTION("IMPORTRANGE(""https://docs.google.com/spreadsheets/d/1SX6NBoVAgQJ6U1MVXOaj8PK2l7WJ3RER9xtqwdhxkhw/edit#gid=346597447"",""สุพรรณบุรี!M546"")"),0)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IFERROR(__xludf.DUMMYFUNCTION("IMPORTRANGE(""https://docs.google.com/spreadsheets/d/1SX6NBoVAgQJ6U1MVXOaj8PK2l7WJ3RER9xtqwdhxkhw/edit#gid=346597447"",""สุพรรณบุรี!J547"")"),0)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IFERROR(__xludf.DUMMYFUNCTION("IMPORTRANGE(""https://docs.google.com/spreadsheets/d/1SX6NBoVAgQJ6U1MVXOaj8PK2l7WJ3RER9xtqwdhxkhw/edit#gid=346597447"",""สุพรรณบุรี!J548"")"),0)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IFERROR(__xludf.DUMMYFUNCTION("IMPORTRANGE(""https://docs.google.com/spreadsheets/d/1SX6NBoVAgQJ6U1MVXOaj8PK2l7WJ3RER9xtqwdhxkhw/edit#gid=346597447"",""สุพรรณบุรี!J550"")"),0)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IFERROR(__xludf.DUMMYFUNCTION("IMPORTRANGE(""https://docs.google.com/spreadsheets/d/1SX6NBoVAgQJ6U1MVXOaj8PK2l7WJ3RER9xtqwdhxkhw/edit#gid=346597447"",""สุพรรณบุรี!J551"")"),0)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IFERROR(__xludf.DUMMYFUNCTION("IMPORTRANGE(""https://docs.google.com/spreadsheets/d/1SX6NBoVAgQJ6U1MVXOaj8PK2l7WJ3RER9xtqwdhxkhw/edit#gid=346597447"",""สุพรรณบุรี!J552"")"),0)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IFERROR(__xludf.DUMMYFUNCTION("IMPORTRANGE(""https://docs.google.com/spreadsheets/d/1SX6NBoVAgQJ6U1MVXOaj8PK2l7WJ3RER9xtqwdhxkhw/edit#gid=346597447"",""สุพรรณบุรี!J553"")"),0)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IFERROR(__xludf.DUMMYFUNCTION("IMPORTRANGE(""https://docs.google.com/spreadsheets/d/1SX6NBoVAgQJ6U1MVXOaj8PK2l7WJ3RER9xtqwdhxkhw/edit#gid=346597447"",""สุพรรณบุรี!J554"")"),0)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IFERROR(__xludf.DUMMYFUNCTION("IMPORTRANGE(""https://docs.google.com/spreadsheets/d/1SX6NBoVAgQJ6U1MVXOaj8PK2l7WJ3RER9xtqwdhxkhw/edit#gid=346597447"",""สุพรรณบุรี!J555"")"),0)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IFERROR(__xludf.DUMMYFUNCTION("IMPORTRANGE(""https://docs.google.com/spreadsheets/d/1SX6NBoVAgQJ6U1MVXOaj8PK2l7WJ3RER9xtqwdhxkhw/edit#gid=346597447"",""สุพรรณบุรี!J556"")"),0)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1"/>
      <c r="N661" s="538">
        <f ca="1">IFERROR(__xludf.DUMMYFUNCTION("IMPORTRANGE(""https://docs.google.com/spreadsheets/d/1SX6NBoVAgQJ6U1MVXOaj8PK2l7WJ3RER9xtqwdhxkhw/edit#gid=346597447"",""สุพรรณบุรี!M556"")"),0)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IFERROR(__xludf.DUMMYFUNCTION("IMPORTRANGE(""https://docs.google.com/spreadsheets/d/1SX6NBoVAgQJ6U1MVXOaj8PK2l7WJ3RER9xtqwdhxkhw/edit#gid=346597447"",""สุพรรณบุรี!J557"")"),0)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IFERROR(__xludf.DUMMYFUNCTION("IMPORTRANGE(""https://docs.google.com/spreadsheets/d/1SX6NBoVAgQJ6U1MVXOaj8PK2l7WJ3RER9xtqwdhxkhw/edit#gid=346597447"",""สุพรรณบุรี!I558"")"),300)</f>
        <v>300</v>
      </c>
      <c r="J663" s="536">
        <f ca="1">IFERROR(__xludf.DUMMYFUNCTION("IMPORTRANGE(""https://docs.google.com/spreadsheets/d/1SX6NBoVAgQJ6U1MVXOaj8PK2l7WJ3RER9xtqwdhxkhw/edit#gid=346597447"",""สุพรรณบุรี!J558"")"),0)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IFERROR(__xludf.DUMMYFUNCTION("IMPORTRANGE(""https://docs.google.com/spreadsheets/d/1SX6NBoVAgQJ6U1MVXOaj8PK2l7WJ3RER9xtqwdhxkhw/edit#gid=346597447"",""สุพรรณบุรี!I560"")"),16)</f>
        <v>16</v>
      </c>
      <c r="J665" s="536">
        <f ca="1">IFERROR(__xludf.DUMMYFUNCTION("IMPORTRANGE(""https://docs.google.com/spreadsheets/d/1SX6NBoVAgQJ6U1MVXOaj8PK2l7WJ3RER9xtqwdhxkhw/edit#gid=346597447"",""สุพรรณบุรี!J560"")"),0)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IFERROR(__xludf.DUMMYFUNCTION("IMPORTRANGE(""https://docs.google.com/spreadsheets/d/1SX6NBoVAgQJ6U1MVXOaj8PK2l7WJ3RER9xtqwdhxkhw/edit#gid=346597447"",""สุพรรณบุรี!L560"")"),1920)</f>
        <v>1920</v>
      </c>
      <c r="M665" s="521"/>
      <c r="N665" s="538">
        <f ca="1">IFERROR(__xludf.DUMMYFUNCTION("IMPORTRANGE(""https://docs.google.com/spreadsheets/d/1SX6NBoVAgQJ6U1MVXOaj8PK2l7WJ3RER9xtqwdhxkhw/edit#gid=346597447"",""สุพรรณบุรี!M560"")"),0)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IFERROR(__xludf.DUMMYFUNCTION("IMPORTRANGE(""https://docs.google.com/spreadsheets/d/1SX6NBoVAgQJ6U1MVXOaj8PK2l7WJ3RER9xtqwdhxkhw/edit#gid=346597447"",""สุพรรณบุรี!J561"")"),0)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IFERROR(__xludf.DUMMYFUNCTION("IMPORTRANGE(""https://docs.google.com/spreadsheets/d/1SX6NBoVAgQJ6U1MVXOaj8PK2l7WJ3RER9xtqwdhxkhw/edit#gid=346597447"",""สุพรรณบุรี!J562"")"),0)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IFERROR(__xludf.DUMMYFUNCTION("IMPORTRANGE(""https://docs.google.com/spreadsheets/d/1SX6NBoVAgQJ6U1MVXOaj8PK2l7WJ3RER9xtqwdhxkhw/edit#gid=346597447"",""สุพรรณบุรี!I563"")"),28)</f>
        <v>28</v>
      </c>
      <c r="J668" s="536">
        <f ca="1">IFERROR(__xludf.DUMMYFUNCTION("IMPORTRANGE(""https://docs.google.com/spreadsheets/d/1SX6NBoVAgQJ6U1MVXOaj8PK2l7WJ3RER9xtqwdhxkhw/edit#gid=346597447"",""สุพรรณบุรี!J563"")"),2)</f>
        <v>2</v>
      </c>
      <c r="K668" s="537">
        <f ca="1">IF(I668&gt;0,J668*100/I668,0)</f>
        <v>7.1428571428571432</v>
      </c>
      <c r="L668" s="522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1"/>
      <c r="N668" s="538">
        <f ca="1">IFERROR(__xludf.DUMMYFUNCTION("IMPORTRANGE(""https://docs.google.com/spreadsheets/d/1SX6NBoVAgQJ6U1MVXOaj8PK2l7WJ3RER9xtqwdhxkhw/edit#gid=346597447"",""สุพรรณบุรี!M563"")"),0)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IFERROR(__xludf.DUMMYFUNCTION("IMPORTRANGE(""https://docs.google.com/spreadsheets/d/1SX6NBoVAgQJ6U1MVXOaj8PK2l7WJ3RER9xtqwdhxkhw/edit#gid=346597447"",""สุพรรณบุรี!J564"")"),2)</f>
        <v>2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IFERROR(__xludf.DUMMYFUNCTION("IMPORTRANGE(""https://docs.google.com/spreadsheets/d/1SX6NBoVAgQJ6U1MVXOaj8PK2l7WJ3RER9xtqwdhxkhw/edit#gid=346597447"",""สุพรรณบุรี!J565"")"),11.96)</f>
        <v>11.96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IFERROR(__xludf.DUMMYFUNCTION("IMPORTRANGE(""https://docs.google.com/spreadsheets/d/1SX6NBoVAgQJ6U1MVXOaj8PK2l7WJ3RER9xtqwdhxkhw/edit#gid=346597447"",""สุพรรณบุรี!I566"")"),50)</f>
        <v>50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IFERROR(__xludf.DUMMYFUNCTION("IMPORTRANGE(""https://docs.google.com/spreadsheets/d/1SX6NBoVAgQJ6U1MVXOaj8PK2l7WJ3RER9xtqwdhxkhw/edit#gid=346597447"",""สุพรรณบุรี!L566"")"),4000)</f>
        <v>4000</v>
      </c>
      <c r="M671" s="521"/>
      <c r="N671" s="538">
        <f ca="1">IFERROR(__xludf.DUMMYFUNCTION("IMPORTRANGE(""https://docs.google.com/spreadsheets/d/1SX6NBoVAgQJ6U1MVXOaj8PK2l7WJ3RER9xtqwdhxkhw/edit#gid=346597447"",""สุพรรณบุรี!M566"")"),0)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IFERROR(__xludf.DUMMYFUNCTION("IMPORTRANGE(""https://docs.google.com/spreadsheets/d/1SX6NBoVAgQJ6U1MVXOaj8PK2l7WJ3RER9xtqwdhxkhw/edit#gid=346597447"",""สุพรรณบุรี!J567"")"),0)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IFERROR(__xludf.DUMMYFUNCTION("IMPORTRANGE(""https://docs.google.com/spreadsheets/d/1SX6NBoVAgQJ6U1MVXOaj8PK2l7WJ3RER9xtqwdhxkhw/edit#gid=346597447"",""สุพรรณบุรี!J568"")"),0)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IFERROR(__xludf.DUMMYFUNCTION("IMPORTRANGE(""https://docs.google.com/spreadsheets/d/1SX6NBoVAgQJ6U1MVXOaj8PK2l7WJ3RER9xtqwdhxkhw/edit#gid=346597447"",""สุพรรณบุรี!J569"")"),0)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IFERROR(__xludf.DUMMYFUNCTION("IMPORTRANGE(""https://docs.google.com/spreadsheets/d/1SX6NBoVAgQJ6U1MVXOaj8PK2l7WJ3RER9xtqwdhxkhw/edit#gid=346597447"",""สุพรรณบุรี!J570"")"),0)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IFERROR(__xludf.DUMMYFUNCTION("IMPORTRANGE(""https://docs.google.com/spreadsheets/d/1SX6NBoVAgQJ6U1MVXOaj8PK2l7WJ3RER9xtqwdhxkhw/edit#gid=346597447"",""สุพรรณบุรี!J571"")"),0)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IFERROR(__xludf.DUMMYFUNCTION("IMPORTRANGE(""https://docs.google.com/spreadsheets/d/1SX6NBoVAgQJ6U1MVXOaj8PK2l7WJ3RER9xtqwdhxkhw/edit#gid=346597447"",""สุพรรณบุรี!J572"")"),0)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300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1995350</v>
      </c>
      <c r="M8" s="23">
        <f t="shared" ca="1" si="0"/>
        <v>1294507.32</v>
      </c>
      <c r="N8" s="23">
        <f t="shared" ca="1" si="0"/>
        <v>1201290.03</v>
      </c>
      <c r="O8" s="22">
        <f t="shared" ref="O8:O16" ca="1" si="1">IF(L8&gt;0,N8*100/L8,0)</f>
        <v>60.204476908812993</v>
      </c>
      <c r="P8" s="22">
        <f t="shared" ref="P8:P16" ca="1" si="2">IF(M8&gt;0,N8*100/M8,0)</f>
        <v>92.799014068147557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1995350</v>
      </c>
      <c r="M10" s="30">
        <f t="shared" ca="1" si="4"/>
        <v>1294507.32</v>
      </c>
      <c r="N10" s="30">
        <f t="shared" ca="1" si="4"/>
        <v>1201290.03</v>
      </c>
      <c r="O10" s="29">
        <f t="shared" ca="1" si="1"/>
        <v>60.204476908812993</v>
      </c>
      <c r="P10" s="29">
        <f t="shared" ca="1" si="2"/>
        <v>92.799014068147557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1856350</v>
      </c>
      <c r="M12" s="38">
        <f t="shared" ca="1" si="6"/>
        <v>1155507.32</v>
      </c>
      <c r="N12" s="38">
        <f t="shared" ca="1" si="6"/>
        <v>1062290.03</v>
      </c>
      <c r="O12" s="38">
        <f t="shared" ca="1" si="1"/>
        <v>57.224662913782424</v>
      </c>
      <c r="P12" s="38">
        <f t="shared" ca="1" si="2"/>
        <v>91.932782390335703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406450</v>
      </c>
      <c r="M14" s="38">
        <f t="shared" si="8"/>
        <v>0</v>
      </c>
      <c r="N14" s="38">
        <f t="shared" ca="1" si="8"/>
        <v>104753</v>
      </c>
      <c r="O14" s="38">
        <f t="shared" ca="1" si="1"/>
        <v>25.772665764546684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1665410</v>
      </c>
      <c r="M18" s="23">
        <f t="shared" ca="1" si="11"/>
        <v>1294507.32</v>
      </c>
      <c r="N18" s="23">
        <f t="shared" ca="1" si="11"/>
        <v>1096537.03</v>
      </c>
      <c r="O18" s="22">
        <f t="shared" ref="O18:O20" ca="1" si="12">IF(L18&gt;0,N18*100/L18,0)</f>
        <v>65.841866567391818</v>
      </c>
      <c r="P18" s="22">
        <f t="shared" ref="P18:P26" ca="1" si="13">IF(M18&gt;0,N18*100/M18,0)</f>
        <v>84.706900691762783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1665410</v>
      </c>
      <c r="M20" s="30">
        <f t="shared" ca="1" si="15"/>
        <v>1294507.32</v>
      </c>
      <c r="N20" s="30">
        <f t="shared" ca="1" si="15"/>
        <v>1096537.03</v>
      </c>
      <c r="O20" s="29">
        <f t="shared" ca="1" si="12"/>
        <v>65.841866567391818</v>
      </c>
      <c r="P20" s="29">
        <f t="shared" ca="1" si="13"/>
        <v>84.706900691762783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1155507.32</v>
      </c>
      <c r="N22" s="38">
        <f t="shared" ca="1" si="18"/>
        <v>957537.03</v>
      </c>
      <c r="O22" s="38">
        <f t="shared" ca="1" si="17"/>
        <v>62.731312687940985</v>
      </c>
      <c r="P22" s="38">
        <f t="shared" ca="1" si="13"/>
        <v>82.867240512158759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329940</v>
      </c>
      <c r="M28" s="23">
        <f t="shared" si="23"/>
        <v>0</v>
      </c>
      <c r="N28" s="23">
        <f t="shared" ca="1" si="23"/>
        <v>104753</v>
      </c>
      <c r="O28" s="22">
        <f t="shared" ref="O28:O30" ca="1" si="24">IF(L28&gt;0,N28*100/L28,0)</f>
        <v>31.749105898042068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329940</v>
      </c>
      <c r="M30" s="30">
        <f t="shared" si="27"/>
        <v>0</v>
      </c>
      <c r="N30" s="30">
        <f t="shared" ca="1" si="27"/>
        <v>104753</v>
      </c>
      <c r="O30" s="29">
        <f t="shared" ca="1" si="24"/>
        <v>31.749105898042068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329940</v>
      </c>
      <c r="M32" s="38">
        <f t="shared" si="30"/>
        <v>0</v>
      </c>
      <c r="N32" s="38">
        <f t="shared" ca="1" si="30"/>
        <v>104753</v>
      </c>
      <c r="O32" s="38">
        <f t="shared" ca="1" si="29"/>
        <v>31.749105898042068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329940</v>
      </c>
      <c r="M34" s="38">
        <f t="shared" si="32"/>
        <v>0</v>
      </c>
      <c r="N34" s="38">
        <f t="shared" ca="1" si="32"/>
        <v>104753</v>
      </c>
      <c r="O34" s="38">
        <f t="shared" ca="1" si="29"/>
        <v>31.749105898042068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1665410</v>
      </c>
      <c r="M37" s="54">
        <f t="shared" ca="1" si="33"/>
        <v>1294507.32</v>
      </c>
      <c r="N37" s="54">
        <f t="shared" ca="1" si="33"/>
        <v>1096537.03</v>
      </c>
      <c r="O37" s="55">
        <f t="shared" ca="1" si="29"/>
        <v>65.841866567391818</v>
      </c>
      <c r="P37" s="55">
        <f t="shared" ca="1" si="25"/>
        <v>84.706900691762783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627100</v>
      </c>
      <c r="N41" s="78">
        <f t="shared" ca="1" si="34"/>
        <v>561991.03</v>
      </c>
      <c r="O41" s="77">
        <f t="shared" ref="O41:O43" ca="1" si="35">IF(L41&gt;0,N41*100/L41,0)</f>
        <v>67.215767252720966</v>
      </c>
      <c r="P41" s="77">
        <f t="shared" ref="P41:P43" ca="1" si="36">IF(M41&gt;0,N41*100/M41,0)</f>
        <v>89.617450167437411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627100</v>
      </c>
      <c r="N43" s="78">
        <f t="shared" ca="1" si="38"/>
        <v>561991.03</v>
      </c>
      <c r="O43" s="77">
        <f t="shared" ca="1" si="35"/>
        <v>67.215767252720966</v>
      </c>
      <c r="P43" s="77">
        <f t="shared" ca="1" si="36"/>
        <v>89.617450167437411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IFERROR(__xludf.DUMMYFUNCTION("IMPORTRANGE(""https://docs.google.com/spreadsheets/d/1Yj_ptqi66GCucihVvJfMjLAmec39IyEx_6qawtMGysU/edit?usp=sharing"",""สบก!Q79"")"),627100)</f>
        <v>627100</v>
      </c>
      <c r="N45" s="49">
        <f ca="1">IFERROR(__xludf.DUMMYFUNCTION("IMPORTRANGE(""https://docs.google.com/spreadsheets/d/1Yj_ptqi66GCucihVvJfMjLAmec39IyEx_6qawtMGysU/edit?usp=sharing"",""สบก!R79"")"),561991.03)</f>
        <v>561991.03</v>
      </c>
      <c r="O45" s="38">
        <f ca="1">IF(L45&gt;0,N45*100/L45,0)</f>
        <v>67.215767252720966</v>
      </c>
      <c r="P45" s="38">
        <f ca="1">IF(M45&gt;0,N45*100/M45,0)</f>
        <v>89.617450167437411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104422.32</v>
      </c>
      <c r="N53" s="121">
        <f t="shared" ca="1" si="39"/>
        <v>91764</v>
      </c>
      <c r="O53" s="120">
        <f t="shared" ref="O53:O55" ca="1" si="40">IF(L53&gt;0,N53*100/L53,0)</f>
        <v>76.47</v>
      </c>
      <c r="P53" s="120">
        <f t="shared" ref="P53:P55" ca="1" si="41">IF(M53&gt;0,N53*100/M53,0)</f>
        <v>87.87776406423454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104422.32</v>
      </c>
      <c r="N55" s="121">
        <f t="shared" ca="1" si="43"/>
        <v>91764</v>
      </c>
      <c r="O55" s="120">
        <f t="shared" ca="1" si="40"/>
        <v>76.47</v>
      </c>
      <c r="P55" s="120">
        <f t="shared" ca="1" si="41"/>
        <v>87.87776406423454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IFERROR(__xludf.DUMMYFUNCTION("IMPORTRANGE(""https://docs.google.com/spreadsheets/d/1Yj_ptqi66GCucihVvJfMjLAmec39IyEx_6qawtMGysU/edit?usp=sharing"",""สบก!Z79"")"),104422.32)</f>
        <v>104422.32</v>
      </c>
      <c r="N57" s="49">
        <f ca="1">IFERROR(__xludf.DUMMYFUNCTION("IMPORTRANGE(""https://docs.google.com/spreadsheets/d/1Yj_ptqi66GCucihVvJfMjLAmec39IyEx_6qawtMGysU/edit?usp=sharing"",""สบก!AA79"")"),91764)</f>
        <v>91764</v>
      </c>
      <c r="O57" s="38">
        <f ca="1">IF(L57&gt;0,N57*100/L57,0)</f>
        <v>76.47</v>
      </c>
      <c r="P57" s="38">
        <f ca="1">IF(M57&gt;0,N57*100/M57,0)</f>
        <v>87.87776406423454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IFERROR(__xludf.DUMMYFUNCTION("IMPORTRANGE(""https://docs.google.com/spreadsheets/d/1SX6NBoVAgQJ6U1MVXOaj8PK2l7WJ3RER9xtqwdhxkhw/edit?usp=sharing"",""อ่างทอง!J50"")"),0)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301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IFERROR(__xludf.DUMMYFUNCTION("IMPORTRANGE(""https://docs.google.com/spreadsheets/d/1SX6NBoVAgQJ6U1MVXOaj8PK2l7WJ3RER9xtqwdhxkhw/edit?usp=sharing"",""อ่างทอง!J65"")"),0)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IFERROR(__xludf.DUMMYFUNCTION("IMPORTRANGE(""https://docs.google.com/spreadsheets/d/1SX6NBoVAgQJ6U1MVXOaj8PK2l7WJ3RER9xtqwdhxkhw/edit?usp=sharing"",""อ่างทอง!I68"")"),0)</f>
        <v>0</v>
      </c>
      <c r="J138" s="267">
        <f ca="1">IFERROR(__xludf.DUMMYFUNCTION("IMPORTRANGE(""https://docs.google.com/spreadsheets/d/1SX6NBoVAgQJ6U1MVXOaj8PK2l7WJ3RER9xtqwdhxkhw/edit?usp=sharing"",""อ่างทอง!J68"")"),0)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27625</v>
      </c>
      <c r="N140" s="152">
        <f t="shared" ca="1" si="64"/>
        <v>14000</v>
      </c>
      <c r="O140" s="151">
        <f t="shared" ref="O140:O142" ca="1" si="65">IF(L140&gt;0,N140*100/L140,0)</f>
        <v>49.29577464788732</v>
      </c>
      <c r="P140" s="151">
        <f t="shared" ref="P140:P142" ca="1" si="66">IF(M140&gt;0,N140*100/M140,0)</f>
        <v>50.678733031674206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27625</v>
      </c>
      <c r="N142" s="157">
        <f t="shared" ca="1" si="68"/>
        <v>14000</v>
      </c>
      <c r="O142" s="156">
        <f t="shared" ca="1" si="65"/>
        <v>49.29577464788732</v>
      </c>
      <c r="P142" s="156">
        <f t="shared" ca="1" si="66"/>
        <v>50.678733031674206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IFERROR(__xludf.DUMMYFUNCTION("IMPORTRANGE(""https://docs.google.com/spreadsheets/d/1Yj_ptqi66GCucihVvJfMjLAmec39IyEx_6qawtMGysU/edit?usp=sharing"",""สบก!BJ79"")"),27625)</f>
        <v>27625</v>
      </c>
      <c r="N144" s="169">
        <f ca="1">IFERROR(__xludf.DUMMYFUNCTION("IMPORTRANGE(""https://docs.google.com/spreadsheets/d/1Yj_ptqi66GCucihVvJfMjLAmec39IyEx_6qawtMGysU/edit?usp=sharing"",""สบก!BK79"")"),14000)</f>
        <v>14000</v>
      </c>
      <c r="O144" s="169">
        <f ca="1">IF(L144&gt;0,N144*100/L144,0)</f>
        <v>49.29577464788732</v>
      </c>
      <c r="P144" s="169">
        <f ca="1">IF(M144&gt;0,N144*100/M144,0)</f>
        <v>50.678733031674206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IFERROR(__xludf.DUMMYFUNCTION("IMPORTRANGE(""https://docs.google.com/spreadsheets/d/1SX6NBoVAgQJ6U1MVXOaj8PK2l7WJ3RER9xtqwdhxkhw/edit?usp=sharing"",""อ่างทอง!I74"")"),4)</f>
        <v>4</v>
      </c>
      <c r="J149" s="275">
        <f ca="1">IFERROR(__xludf.DUMMYFUNCTION("IMPORTRANGE(""https://docs.google.com/spreadsheets/d/1SX6NBoVAgQJ6U1MVXOaj8PK2l7WJ3RER9xtqwdhxkhw/edit?usp=sharing"",""อ่างทอง!J74"")"),2)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IFERROR(__xludf.DUMMYFUNCTION("IMPORTRANGE(""https://docs.google.com/spreadsheets/d/1SX6NBoVAgQJ6U1MVXOaj8PK2l7WJ3RER9xtqwdhxkhw/edit?usp=sharing"",""อ่างทอง!J88"")"),0)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IFERROR(__xludf.DUMMYFUNCTION("IMPORTRANGE(""https://docs.google.com/spreadsheets/d/1SX6NBoVAgQJ6U1MVXOaj8PK2l7WJ3RER9xtqwdhxkhw/edit?usp=sharing"",""อ่างทอง!I89"")"),1)</f>
        <v>1</v>
      </c>
      <c r="J164" s="284">
        <f ca="1">IFERROR(__xludf.DUMMYFUNCTION("IMPORTRANGE(""https://docs.google.com/spreadsheets/d/1SX6NBoVAgQJ6U1MVXOaj8PK2l7WJ3RER9xtqwdhxkhw/edit?usp=sharing"",""อ่างทอง!J89"")"),1)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IFERROR(__xludf.DUMMYFUNCTION("IMPORTRANGE(""https://docs.google.com/spreadsheets/d/1SX6NBoVAgQJ6U1MVXOaj8PK2l7WJ3RER9xtqwdhxkhw/edit?usp=sharing"",""อ่างทอง!J100"")"),0)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IFERROR(__xludf.DUMMYFUNCTION("IMPORTRANGE(""https://docs.google.com/spreadsheets/d/1SX6NBoVAgQJ6U1MVXOaj8PK2l7WJ3RER9xtqwdhxkhw/edit?usp=sharing"",""อ่างทอง!I101"")"),0)</f>
        <v>0</v>
      </c>
      <c r="J176" s="284">
        <f ca="1">IFERROR(__xludf.DUMMYFUNCTION("IMPORTRANGE(""https://docs.google.com/spreadsheets/d/1SX6NBoVAgQJ6U1MVXOaj8PK2l7WJ3RER9xtqwdhxkhw/edit?usp=sharing"",""อ่างทอง!J101"")"),0)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IFERROR(__xludf.DUMMYFUNCTION("IMPORTRANGE(""https://docs.google.com/spreadsheets/d/1SX6NBoVAgQJ6U1MVXOaj8PK2l7WJ3RER9xtqwdhxkhw/edit?usp=sharing"",""อ่างทอง!J113"")"),0)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IFERROR(__xludf.DUMMYFUNCTION("IMPORTRANGE(""https://docs.google.com/spreadsheets/d/1SX6NBoVAgQJ6U1MVXOaj8PK2l7WJ3RER9xtqwdhxkhw/edit?usp=sharing"",""อ่างทอง!I114"")"),5000)</f>
        <v>5000</v>
      </c>
      <c r="J189" s="284">
        <f ca="1">IFERROR(__xludf.DUMMYFUNCTION("IMPORTRANGE(""https://docs.google.com/spreadsheets/d/1SX6NBoVAgQJ6U1MVXOaj8PK2l7WJ3RER9xtqwdhxkhw/edit?usp=sharing"",""อ่างทอง!J114"")"),0)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IFERROR(__xludf.DUMMYFUNCTION("IMPORTRANGE(""https://docs.google.com/spreadsheets/d/1SX6NBoVAgQJ6U1MVXOaj8PK2l7WJ3RER9xtqwdhxkhw/edit?usp=sharing"",""อ่างทอง!J128"")"),0)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IFERROR(__xludf.DUMMYFUNCTION("IMPORTRANGE(""https://docs.google.com/spreadsheets/d/1SX6NBoVAgQJ6U1MVXOaj8PK2l7WJ3RER9xtqwdhxkhw/edit?usp=sharing"",""อ่างทอง!I129"")"),0)</f>
        <v>0</v>
      </c>
      <c r="J204" s="284">
        <f ca="1">IFERROR(__xludf.DUMMYFUNCTION("IMPORTRANGE(""https://docs.google.com/spreadsheets/d/1SX6NBoVAgQJ6U1MVXOaj8PK2l7WJ3RER9xtqwdhxkhw/edit?usp=sharing"",""อ่างทอง!J129"")"),0)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IFERROR(__xludf.DUMMYFUNCTION("IMPORTRANGE(""https://docs.google.com/spreadsheets/d/1SX6NBoVAgQJ6U1MVXOaj8PK2l7WJ3RER9xtqwdhxkhw/edit?usp=sharing"",""อ่างทอง!J143"")"),0)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IFERROR(__xludf.DUMMYFUNCTION("IMPORTRANGE(""https://docs.google.com/spreadsheets/d/1SX6NBoVAgQJ6U1MVXOaj8PK2l7WJ3RER9xtqwdhxkhw/edit?usp=sharing"",""อ่างทอง!I144"")"),0)</f>
        <v>0</v>
      </c>
      <c r="J219" s="267">
        <f ca="1">IFERROR(__xludf.DUMMYFUNCTION("IMPORTRANGE(""https://docs.google.com/spreadsheets/d/1SX6NBoVAgQJ6U1MVXOaj8PK2l7WJ3RER9xtqwdhxkhw/edit?usp=sharing"",""อ่างทอง!J144"")"),0)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IFERROR(__xludf.DUMMYFUNCTION("IMPORTRANGE(""https://docs.google.com/spreadsheets/d/1SX6NBoVAgQJ6U1MVXOaj8PK2l7WJ3RER9xtqwdhxkhw/edit?usp=sharing"",""อ่างทอง!I149"")"),0)</f>
        <v>0</v>
      </c>
      <c r="J229" s="267">
        <f ca="1">IFERROR(__xludf.DUMMYFUNCTION("IMPORTRANGE(""https://docs.google.com/spreadsheets/d/1SX6NBoVAgQJ6U1MVXOaj8PK2l7WJ3RER9xtqwdhxkhw/edit?usp=sharing"",""อ่างทอง!J149"")"),0)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IFERROR(__xludf.DUMMYFUNCTION("IMPORTRANGE(""https://docs.google.com/spreadsheets/d/1SX6NBoVAgQJ6U1MVXOaj8PK2l7WJ3RER9xtqwdhxkhw/edit?usp=sharing"",""อ่างทอง!I158"")"),0)</f>
        <v>0</v>
      </c>
      <c r="J238" s="267">
        <f ca="1">IFERROR(__xludf.DUMMYFUNCTION("IMPORTRANGE(""https://docs.google.com/spreadsheets/d/1SX6NBoVAgQJ6U1MVXOaj8PK2l7WJ3RER9xtqwdhxkhw/edit?usp=sharing"",""อ่างทอง!J158"")"),0)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IFERROR(__xludf.DUMMYFUNCTION("IMPORTRANGE(""https://docs.google.com/spreadsheets/d/1SX6NBoVAgQJ6U1MVXOaj8PK2l7WJ3RER9xtqwdhxkhw/edit?usp=sharing"",""อ่างทอง!J166"")"),0)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IFERROR(__xludf.DUMMYFUNCTION("IMPORTRANGE(""https://docs.google.com/spreadsheets/d/1SX6NBoVAgQJ6U1MVXOaj8PK2l7WJ3RER9xtqwdhxkhw/edit?usp=sharing"",""อ่างทอง!I169"")"),0)</f>
        <v>0</v>
      </c>
      <c r="J249" s="316">
        <f ca="1">IFERROR(__xludf.DUMMYFUNCTION("IMPORTRANGE(""https://docs.google.com/spreadsheets/d/1SX6NBoVAgQJ6U1MVXOaj8PK2l7WJ3RER9xtqwdhxkhw/edit?usp=sharing"",""อ่างทอง!J169"")"),0)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IFERROR(__xludf.DUMMYFUNCTION("IMPORTRANGE(""https://docs.google.com/spreadsheets/d/1SX6NBoVAgQJ6U1MVXOaj8PK2l7WJ3RER9xtqwdhxkhw/edit?usp=sharing"",""อ่างทอง!J184"")"),0)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IFERROR(__xludf.DUMMYFUNCTION("IMPORTRANGE(""https://docs.google.com/spreadsheets/d/1SX6NBoVAgQJ6U1MVXOaj8PK2l7WJ3RER9xtqwdhxkhw/edit?usp=sharing"",""อ่างทอง!I185"")"),0)</f>
        <v>0</v>
      </c>
      <c r="J270" s="316">
        <f ca="1">IFERROR(__xludf.DUMMYFUNCTION("IMPORTRANGE(""https://docs.google.com/spreadsheets/d/1SX6NBoVAgQJ6U1MVXOaj8PK2l7WJ3RER9xtqwdhxkhw/edit?usp=sharing"",""อ่างทอง!J185"")"),0)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IFERROR(__xludf.DUMMYFUNCTION("IMPORTRANGE(""https://docs.google.com/spreadsheets/d/1SX6NBoVAgQJ6U1MVXOaj8PK2l7WJ3RER9xtqwdhxkhw/edit?usp=sharing"",""อ่างทอง!I199"")"),0)</f>
        <v>0</v>
      </c>
      <c r="J289" s="316">
        <f ca="1">IFERROR(__xludf.DUMMYFUNCTION("IMPORTRANGE(""https://docs.google.com/spreadsheets/d/1SX6NBoVAgQJ6U1MVXOaj8PK2l7WJ3RER9xtqwdhxkhw/edit?usp=sharing"",""อ่างทอง!J199"")"),0)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IFERROR(__xludf.DUMMYFUNCTION("IMPORTRANGE(""https://docs.google.com/spreadsheets/d/1SX6NBoVAgQJ6U1MVXOaj8PK2l7WJ3RER9xtqwdhxkhw/edit?usp=sharing"",""อ่างทอง!J213"")"),0)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IFERROR(__xludf.DUMMYFUNCTION("IMPORTRANGE(""https://docs.google.com/spreadsheets/d/1SX6NBoVAgQJ6U1MVXOaj8PK2l7WJ3RER9xtqwdhxkhw/edit?usp=sharing"",""อ่างทอง!I214"")"),0)</f>
        <v>0</v>
      </c>
      <c r="J309" s="333">
        <f ca="1">IFERROR(__xludf.DUMMYFUNCTION("IMPORTRANGE(""https://docs.google.com/spreadsheets/d/1SX6NBoVAgQJ6U1MVXOaj8PK2l7WJ3RER9xtqwdhxkhw/edit?usp=sharing"",""อ่างทอง!J214"")"),0)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IFERROR(__xludf.DUMMYFUNCTION("IMPORTRANGE(""https://docs.google.com/spreadsheets/d/1SX6NBoVAgQJ6U1MVXOaj8PK2l7WJ3RER9xtqwdhxkhw/edit?usp=sharing"",""อ่างทอง!J226"")"),0)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IFERROR(__xludf.DUMMYFUNCTION("IMPORTRANGE(""https://docs.google.com/spreadsheets/d/1SX6NBoVAgQJ6U1MVXOaj8PK2l7WJ3RER9xtqwdhxkhw/edit?usp=sharing"",""อ่างทอง!I228"")"),0)</f>
        <v>0</v>
      </c>
      <c r="J328" s="339">
        <f ca="1">IFERROR(__xludf.DUMMYFUNCTION("IMPORTRANGE(""https://docs.google.com/spreadsheets/d/1SX6NBoVAgQJ6U1MVXOaj8PK2l7WJ3RER9xtqwdhxkhw/edit?usp=sharing"",""อ่างทอง!J228"")"),0)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680910</v>
      </c>
      <c r="M329" s="152">
        <f t="shared" ca="1" si="98"/>
        <v>535360</v>
      </c>
      <c r="N329" s="152">
        <f t="shared" ca="1" si="98"/>
        <v>428782</v>
      </c>
      <c r="O329" s="151">
        <f t="shared" ref="O329:O331" ca="1" si="99">IF(L329&gt;0,N329*100/L329,0)</f>
        <v>62.97190524445228</v>
      </c>
      <c r="P329" s="151">
        <f t="shared" ref="P329:P331" ca="1" si="100">IF(M329&gt;0,N329*100/M329,0)</f>
        <v>80.092274357441724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680910</v>
      </c>
      <c r="M331" s="157">
        <f t="shared" ca="1" si="102"/>
        <v>535360</v>
      </c>
      <c r="N331" s="157">
        <f t="shared" ca="1" si="102"/>
        <v>428782</v>
      </c>
      <c r="O331" s="156">
        <f t="shared" ca="1" si="99"/>
        <v>62.97190524445228</v>
      </c>
      <c r="P331" s="156">
        <f t="shared" ca="1" si="100"/>
        <v>80.092274357441724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541910</v>
      </c>
      <c r="M333" s="168">
        <f ca="1">IFERROR(__xludf.DUMMYFUNCTION("IMPORTRANGE(""https://docs.google.com/spreadsheets/d/1Yj_ptqi66GCucihVvJfMjLAmec39IyEx_6qawtMGysU/edit?usp=sharing"",""สบก!DL79"")"),396360)</f>
        <v>396360</v>
      </c>
      <c r="N333" s="169">
        <f ca="1">IFERROR(__xludf.DUMMYFUNCTION("IMPORTRANGE(""https://docs.google.com/spreadsheets/d/1Yj_ptqi66GCucihVvJfMjLAmec39IyEx_6qawtMGysU/edit?usp=sharing"",""สบก!DM79"")"),289782)</f>
        <v>289782</v>
      </c>
      <c r="O333" s="169">
        <f ca="1">IF(L333&gt;0,N333*100/L333,0)</f>
        <v>53.474193131700837</v>
      </c>
      <c r="P333" s="169">
        <f ca="1">IF(M333&gt;0,N333*100/M333,0)</f>
        <v>73.110808356039968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IFERROR(__xludf.DUMMYFUNCTION("IMPORTRANGE(""https://docs.google.com/spreadsheets/d/1Yj_ptqi66GCucihVvJfMjLAmec39IyEx_6qawtMGysU/edit?usp=sharing"",""สบก!DI79"")"),48110)</f>
        <v>48110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100</v>
      </c>
      <c r="P337" s="16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IFERROR(__xludf.DUMMYFUNCTION("IMPORTRANGE(""https://docs.google.com/spreadsheets/d/1SX6NBoVAgQJ6U1MVXOaj8PK2l7WJ3RER9xtqwdhxkhw/edit?usp=sharing"",""อ่างทอง!L242"")"),329940)</f>
        <v>329940</v>
      </c>
      <c r="M347" s="358"/>
      <c r="N347" s="358">
        <f ca="1">IFERROR(__xludf.DUMMYFUNCTION("IMPORTRANGE(""https://docs.google.com/spreadsheets/d/1SX6NBoVAgQJ6U1MVXOaj8PK2l7WJ3RER9xtqwdhxkhw/edit?usp=sharing"",""อ่างทอง!M242"")"),104753)</f>
        <v>104753</v>
      </c>
      <c r="O347" s="358">
        <f ca="1">+IF(L347&gt;0,N347*100/L347,0)</f>
        <v>31.749105898042068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IFERROR(__xludf.DUMMYFUNCTION("IMPORTRANGE(""https://docs.google.com/spreadsheets/d/1SX6NBoVAgQJ6U1MVXOaj8PK2l7WJ3RER9xtqwdhxkhw/edit?usp=sharing"",""อ่างทอง!M244"")"),30280)</f>
        <v>30280</v>
      </c>
      <c r="O349" s="373">
        <f ca="1">+IF(L349&gt;0,N349*100/L349,0)</f>
        <v>43.430866322432585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IFERROR(__xludf.DUMMYFUNCTION("IMPORTRANGE(""https://docs.google.com/spreadsheets/d/1SX6NBoVAgQJ6U1MVXOaj8PK2l7WJ3RER9xtqwdhxkhw/edit?usp=sharing"",""อ่างทอง!L247"")"),69720)</f>
        <v>69720</v>
      </c>
      <c r="M352" s="165"/>
      <c r="N352" s="164">
        <f ca="1">IFERROR(__xludf.DUMMYFUNCTION("IMPORTRANGE(""https://docs.google.com/spreadsheets/d/1SX6NBoVAgQJ6U1MVXOaj8PK2l7WJ3RER9xtqwdhxkhw/edit?usp=sharing"",""อ่างทอง!M247"")"),30280)</f>
        <v>30280</v>
      </c>
      <c r="O352" s="165">
        <f t="shared" ca="1" si="105"/>
        <v>43.430866322432585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IFERROR(__xludf.DUMMYFUNCTION("IMPORTRANGE(""https://docs.google.com/spreadsheets/d/1SX6NBoVAgQJ6U1MVXOaj8PK2l7WJ3RER9xtqwdhxkhw/edit?usp=sharing"",""อ่างทอง!L249"")"),69720)</f>
        <v>69720</v>
      </c>
      <c r="M354" s="169"/>
      <c r="N354" s="168">
        <f ca="1">IFERROR(__xludf.DUMMYFUNCTION("IMPORTRANGE(""https://docs.google.com/spreadsheets/d/1SX6NBoVAgQJ6U1MVXOaj8PK2l7WJ3RER9xtqwdhxkhw/edit?usp=sharing"",""อ่างทอง!M249"")"),30280)</f>
        <v>30280</v>
      </c>
      <c r="O354" s="169">
        <f t="shared" ca="1" si="105"/>
        <v>43.430866322432585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IFERROR(__xludf.DUMMYFUNCTION("IMPORTRANGE(""https://docs.google.com/spreadsheets/d/1SX6NBoVAgQJ6U1MVXOaj8PK2l7WJ3RER9xtqwdhxkhw/edit?usp=sharing"",""อ่างทอง!M250"")"),12280)</f>
        <v>12280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IFERROR(__xludf.DUMMYFUNCTION("IMPORTRANGE(""https://docs.google.com/spreadsheets/d/1SX6NBoVAgQJ6U1MVXOaj8PK2l7WJ3RER9xtqwdhxkhw/edit?usp=sharing"",""อ่างทอง!M251"")"),18000)</f>
        <v>18000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IFERROR(__xludf.DUMMYFUNCTION("IMPORTRANGE(""https://docs.google.com/spreadsheets/d/1SX6NBoVAgQJ6U1MVXOaj8PK2l7WJ3RER9xtqwdhxkhw/edit?usp=sharing"",""อ่างทอง!M296"")"),10931)</f>
        <v>10931</v>
      </c>
      <c r="O401" s="373">
        <f ca="1">+IF(L401&gt;0,N401*100/L401,0)</f>
        <v>34.767811704834607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IFERROR(__xludf.DUMMYFUNCTION("IMPORTRANGE(""https://docs.google.com/spreadsheets/d/1SX6NBoVAgQJ6U1MVXOaj8PK2l7WJ3RER9xtqwdhxkhw/edit?usp=sharing"",""อ่างทอง!M299"")"),10931)</f>
        <v>10931</v>
      </c>
      <c r="O404" s="169">
        <f t="shared" ca="1" si="112"/>
        <v>34.767811704834607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IFERROR(__xludf.DUMMYFUNCTION("IMPORTRANGE(""https://docs.google.com/spreadsheets/d/1SX6NBoVAgQJ6U1MVXOaj8PK2l7WJ3RER9xtqwdhxkhw/edit?usp=sharing"",""อ่างทอง!M301"")"),10931)</f>
        <v>10931</v>
      </c>
      <c r="O406" s="169">
        <f t="shared" ca="1" si="112"/>
        <v>34.767811704834607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IFERROR(__xludf.DUMMYFUNCTION("IMPORTRANGE(""https://docs.google.com/spreadsheets/d/1SX6NBoVAgQJ6U1MVXOaj8PK2l7WJ3RER9xtqwdhxkhw/edit?usp=sharing"",""อ่างทอง!M302"")"),10931)</f>
        <v>10931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IFERROR(__xludf.DUMMYFUNCTION("IMPORTRANGE(""https://docs.google.com/spreadsheets/d/1SX6NBoVAgQJ6U1MVXOaj8PK2l7WJ3RER9xtqwdhxkhw/edit?usp=sharing"",""อ่างทอง!J329"")"),0)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IFERROR(__xludf.DUMMYFUNCTION("IMPORTRANGE(""https://docs.google.com/spreadsheets/d/1SX6NBoVAgQJ6U1MVXOaj8PK2l7WJ3RER9xtqwdhxkhw/edit?usp=sharing"",""อ่างทอง!M330"")"),10390)</f>
        <v>10390</v>
      </c>
      <c r="O435" s="412">
        <f t="shared" ref="O435:O439" ca="1" si="114">+IF(L435&gt;0,N435*100/L435,0)</f>
        <v>13.671052631578947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IFERROR(__xludf.DUMMYFUNCTION("IMPORTRANGE(""https://docs.google.com/spreadsheets/d/1SX6NBoVAgQJ6U1MVXOaj8PK2l7WJ3RER9xtqwdhxkhw/edit?usp=sharing"",""อ่างทอง!M332"")"),10390)</f>
        <v>10390</v>
      </c>
      <c r="O437" s="169">
        <f t="shared" ca="1" si="114"/>
        <v>13.671052631578947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IFERROR(__xludf.DUMMYFUNCTION("IMPORTRANGE(""https://docs.google.com/spreadsheets/d/1SX6NBoVAgQJ6U1MVXOaj8PK2l7WJ3RER9xtqwdhxkhw/edit?usp=sharing"",""อ่างทอง!M334"")"),10390)</f>
        <v>10390</v>
      </c>
      <c r="O439" s="169">
        <f t="shared" ca="1" si="114"/>
        <v>13.671052631578947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IFERROR(__xludf.DUMMYFUNCTION("IMPORTRANGE(""https://docs.google.com/spreadsheets/d/1SX6NBoVAgQJ6U1MVXOaj8PK2l7WJ3RER9xtqwdhxkhw/edit?usp=sharing"",""อ่างทอง!M335"")"),10390)</f>
        <v>10390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IFERROR(__xludf.DUMMYFUNCTION("IMPORTRANGE(""https://docs.google.com/spreadsheets/d/1SX6NBoVAgQJ6U1MVXOaj8PK2l7WJ3RER9xtqwdhxkhw/edit?usp=sharing"",""อ่างทอง!I359"")"),0)</f>
        <v>0</v>
      </c>
      <c r="J464" s="267">
        <f ca="1">IFERROR(__xludf.DUMMYFUNCTION("IMPORTRANGE(""https://docs.google.com/spreadsheets/d/1SX6NBoVAgQJ6U1MVXOaj8PK2l7WJ3RER9xtqwdhxkhw/edit?usp=sharing"",""อ่างทอง!J359"")"),0)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IFERROR(__xludf.DUMMYFUNCTION("IMPORTRANGE(""https://docs.google.com/spreadsheets/d/1SX6NBoVAgQJ6U1MVXOaj8PK2l7WJ3RER9xtqwdhxkhw/edit?usp=sharing"",""อ่างทอง!I411"")"),0)</f>
        <v>0</v>
      </c>
      <c r="J516" s="267">
        <f ca="1">IFERROR(__xludf.DUMMYFUNCTION("IMPORTRANGE(""https://docs.google.com/spreadsheets/d/1SX6NBoVAgQJ6U1MVXOaj8PK2l7WJ3RER9xtqwdhxkhw/edit?usp=sharing"",""อ่างทอง!J411"")"),0)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IFERROR(__xludf.DUMMYFUNCTION("IMPORTRANGE(""https://docs.google.com/spreadsheets/d/1SX6NBoVAgQJ6U1MVXOaj8PK2l7WJ3RER9xtqwdhxkhw/edit?usp=sharing"",""อ่างทอง!I412"")"),0)</f>
        <v>0</v>
      </c>
      <c r="J517" s="284">
        <f ca="1">IFERROR(__xludf.DUMMYFUNCTION("IMPORTRANGE(""https://docs.google.com/spreadsheets/d/1SX6NBoVAgQJ6U1MVXOaj8PK2l7WJ3RER9xtqwdhxkhw/edit?usp=sharing"",""อ่างทอง!J412"")"),0)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IFERROR(__xludf.DUMMYFUNCTION("IMPORTRANGE(""https://docs.google.com/spreadsheets/d/1SX6NBoVAgQJ6U1MVXOaj8PK2l7WJ3RER9xtqwdhxkhw/edit?usp=sharing"",""อ่างทอง!I413"")"),0)</f>
        <v>0</v>
      </c>
      <c r="J518" s="284">
        <f ca="1">IFERROR(__xludf.DUMMYFUNCTION("IMPORTRANGE(""https://docs.google.com/spreadsheets/d/1SX6NBoVAgQJ6U1MVXOaj8PK2l7WJ3RER9xtqwdhxkhw/edit?usp=sharing"",""อ่างทอง!J413"")"),0)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IFERROR(__xludf.DUMMYFUNCTION("IMPORTRANGE(""https://docs.google.com/spreadsheets/d/1SX6NBoVAgQJ6U1MVXOaj8PK2l7WJ3RER9xtqwdhxkhw/edit?usp=sharing"",""อ่างทอง!I420"")"),0)</f>
        <v>0</v>
      </c>
      <c r="J525" s="284">
        <f ca="1">IFERROR(__xludf.DUMMYFUNCTION("IMPORTRANGE(""https://docs.google.com/spreadsheets/d/1SX6NBoVAgQJ6U1MVXOaj8PK2l7WJ3RER9xtqwdhxkhw/edit?usp=sharing"",""อ่างทอง!J420"")"),0)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IFERROR(__xludf.DUMMYFUNCTION("IMPORTRANGE(""https://docs.google.com/spreadsheets/d/1SX6NBoVAgQJ6U1MVXOaj8PK2l7WJ3RER9xtqwdhxkhw/edit?usp=sharing"",""อ่างทอง!I421"")"),0)</f>
        <v>0</v>
      </c>
      <c r="J526" s="284">
        <f ca="1">IFERROR(__xludf.DUMMYFUNCTION("IMPORTRANGE(""https://docs.google.com/spreadsheets/d/1SX6NBoVAgQJ6U1MVXOaj8PK2l7WJ3RER9xtqwdhxkhw/edit?usp=sharing"",""อ่างทอง!J421"")"),0)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IFERROR(__xludf.DUMMYFUNCTION("IMPORTRANGE(""https://docs.google.com/spreadsheets/d/1SX6NBoVAgQJ6U1MVXOaj8PK2l7WJ3RER9xtqwdhxkhw/edit?usp=sharing"",""อ่างทอง!J459"")"),5)</f>
        <v>5</v>
      </c>
      <c r="K564" s="372">
        <f ca="1">IF(I564&gt;0,J564*100/I564,0)</f>
        <v>25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IFERROR(__xludf.DUMMYFUNCTION("IMPORTRANGE(""https://docs.google.com/spreadsheets/d/1SX6NBoVAgQJ6U1MVXOaj8PK2l7WJ3RER9xtqwdhxkhw/edit?usp=sharing"",""อ่างทอง!M459"")"),45992)</f>
        <v>45992</v>
      </c>
      <c r="O564" s="373">
        <f t="shared" ref="O564:O568" ca="1" si="122">+IF(L564&gt;0,N564*100/L564,0)</f>
        <v>39.029192124915141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IFERROR(__xludf.DUMMYFUNCTION("IMPORTRANGE(""https://docs.google.com/spreadsheets/d/1SX6NBoVAgQJ6U1MVXOaj8PK2l7WJ3RER9xtqwdhxkhw/edit?usp=sharing"",""อ่างทอง!M461"")"),45992)</f>
        <v>45992</v>
      </c>
      <c r="O566" s="169">
        <f t="shared" ca="1" si="122"/>
        <v>39.029192124915141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IFERROR(__xludf.DUMMYFUNCTION("IMPORTRANGE(""https://docs.google.com/spreadsheets/d/1SX6NBoVAgQJ6U1MVXOaj8PK2l7WJ3RER9xtqwdhxkhw/edit?usp=sharing"",""อ่างทอง!M463"")"),45992)</f>
        <v>45992</v>
      </c>
      <c r="O568" s="169">
        <f t="shared" ca="1" si="122"/>
        <v>39.029192124915141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IFERROR(__xludf.DUMMYFUNCTION("IMPORTRANGE(""https://docs.google.com/spreadsheets/d/1SX6NBoVAgQJ6U1MVXOaj8PK2l7WJ3RER9xtqwdhxkhw/edit?usp=sharing"",""อ่างทอง!M466"")"),45992)</f>
        <v>45992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IFERROR(__xludf.DUMMYFUNCTION("IMPORTRANGE(""https://docs.google.com/spreadsheets/d/1SX6NBoVAgQJ6U1MVXOaj8PK2l7WJ3RER9xtqwdhxkhw/edit?usp=sharing"",""อ่างทอง!J468"")"),5)</f>
        <v>5</v>
      </c>
      <c r="K573" s="202">
        <f ca="1">IF(I573&gt;0,J573*100/I573,0)</f>
        <v>25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IFERROR(__xludf.DUMMYFUNCTION("IMPORTRANGE(""https://docs.google.com/spreadsheets/d/1SX6NBoVAgQJ6U1MVXOaj8PK2l7WJ3RER9xtqwdhxkhw/edit?usp=sharing"",""อ่างทอง!J472"")"),5)</f>
        <v>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IFERROR(__xludf.DUMMYFUNCTION("IMPORTRANGE(""https://docs.google.com/spreadsheets/d/1SX6NBoVAgQJ6U1MVXOaj8PK2l7WJ3RER9xtqwdhxkhw/edit?usp=sharing"",""อ่างทอง!I491"")"),0)</f>
        <v>0</v>
      </c>
      <c r="J596" s="241">
        <f ca="1">IFERROR(__xludf.DUMMYFUNCTION("IMPORTRANGE(""https://docs.google.com/spreadsheets/d/1SX6NBoVAgQJ6U1MVXOaj8PK2l7WJ3RER9xtqwdhxkhw/edit?usp=sharing"",""อ่างทอง!J491"")"),0)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7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IFERROR(__xludf.DUMMYFUNCTION("IMPORTRANGE(""https://docs.google.com/spreadsheets/d/1SX6NBoVAgQJ6U1MVXOaj8PK2l7WJ3RER9xtqwdhxkhw/edit?usp=sharing"",""อ่างทอง!L494"")"),10800)</f>
        <v>10800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10.833333333333334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IFERROR(__xludf.DUMMYFUNCTION("IMPORTRANGE(""https://docs.google.com/spreadsheets/d/1SX6NBoVAgQJ6U1MVXOaj8PK2l7WJ3RER9xtqwdhxkhw/edit?usp=sharing"",""อ่างทอง!L496"")"),10800)</f>
        <v>10800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10.833333333333334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IFERROR(__xludf.DUMMYFUNCTION("IMPORTRANGE(""https://docs.google.com/spreadsheets/d/1SX6NBoVAgQJ6U1MVXOaj8PK2l7WJ3RER9xtqwdhxkhw/edit?usp=sharing"",""อ่างทอง!J507"")"),418)</f>
        <v>418</v>
      </c>
      <c r="K612" s="163">
        <f t="shared" ca="1" si="127"/>
        <v>522.5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IFERROR(__xludf.DUMMYFUNCTION("IMPORTRANGE(""https://docs.google.com/spreadsheets/d/1SX6NBoVAgQJ6U1MVXOaj8PK2l7WJ3RER9xtqwdhxkhw/edit?usp=sharing"",""อ่างทอง!I523"")"),510000)</f>
        <v>510000</v>
      </c>
      <c r="J628" s="341">
        <f ca="1">IFERROR(__xludf.DUMMYFUNCTION("IMPORTRANGE(""https://docs.google.com/spreadsheets/d/1SX6NBoVAgQJ6U1MVXOaj8PK2l7WJ3RER9xtqwdhxkhw/edit?usp=sharing"",""อ่างทอง!J523"")"),30000)</f>
        <v>30000</v>
      </c>
      <c r="K628" s="342">
        <f t="shared" ref="K628:K635" ca="1" si="129">IF(I628&gt;0,J628*100/I628,0)</f>
        <v>5.882352941176471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IFERROR(__xludf.DUMMYFUNCTION("IMPORTRANGE(""https://docs.google.com/spreadsheets/d/1SX6NBoVAgQJ6U1MVXOaj8PK2l7WJ3RER9xtqwdhxkhw/edit?usp=sharing"",""อ่างทอง!I524"")"),18)</f>
        <v>18</v>
      </c>
      <c r="J629" s="341">
        <f ca="1">IFERROR(__xludf.DUMMYFUNCTION("IMPORTRANGE(""https://docs.google.com/spreadsheets/d/1SX6NBoVAgQJ6U1MVXOaj8PK2l7WJ3RER9xtqwdhxkhw/edit?usp=sharing"",""อ่างทอง!J524"")"),1)</f>
        <v>1</v>
      </c>
      <c r="K629" s="342">
        <f t="shared" ca="1" si="129"/>
        <v>5.5555555555555554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IFERROR(__xludf.DUMMYFUNCTION("IMPORTRANGE(""https://docs.google.com/spreadsheets/d/1SX6NBoVAgQJ6U1MVXOaj8PK2l7WJ3RER9xtqwdhxkhw/edit?usp=sharing"",""อ่างทอง!I525"")"),169583.93)</f>
        <v>169583.93</v>
      </c>
      <c r="J630" s="341">
        <f ca="1">IFERROR(__xludf.DUMMYFUNCTION("IMPORTRANGE(""https://docs.google.com/spreadsheets/d/1SX6NBoVAgQJ6U1MVXOaj8PK2l7WJ3RER9xtqwdhxkhw/edit?usp=sharing"",""อ่างทอง!J525"")"),120071.11)</f>
        <v>120071.11</v>
      </c>
      <c r="K630" s="342">
        <f t="shared" ca="1" si="129"/>
        <v>70.80335383193443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IFERROR(__xludf.DUMMYFUNCTION("IMPORTRANGE(""https://docs.google.com/spreadsheets/d/1SX6NBoVAgQJ6U1MVXOaj8PK2l7WJ3RER9xtqwdhxkhw/edit?usp=sharing"",""อ่างทอง!I526"")"),6)</f>
        <v>6</v>
      </c>
      <c r="J631" s="341">
        <f ca="1">IFERROR(__xludf.DUMMYFUNCTION("IMPORTRANGE(""https://docs.google.com/spreadsheets/d/1SX6NBoVAgQJ6U1MVXOaj8PK2l7WJ3RER9xtqwdhxkhw/edit?usp=sharing"",""อ่างทอง!J526"")"),6)</f>
        <v>6</v>
      </c>
      <c r="K631" s="342">
        <f t="shared" ca="1" si="129"/>
        <v>100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IFERROR(__xludf.DUMMYFUNCTION("IMPORTRANGE(""https://docs.google.com/spreadsheets/d/1SX6NBoVAgQJ6U1MVXOaj8PK2l7WJ3RER9xtqwdhxkhw/edit?usp=sharing"",""อ่างทอง!I527"")"),39445.31)</f>
        <v>39445.31</v>
      </c>
      <c r="J632" s="341">
        <f ca="1">IFERROR(__xludf.DUMMYFUNCTION("IMPORTRANGE(""https://docs.google.com/spreadsheets/d/1SX6NBoVAgQJ6U1MVXOaj8PK2l7WJ3RER9xtqwdhxkhw/edit?usp=sharing"",""อ่างทอง!J527"")"),29466.15)</f>
        <v>29466.15</v>
      </c>
      <c r="K632" s="342">
        <f t="shared" ca="1" si="129"/>
        <v>74.701276273402343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IFERROR(__xludf.DUMMYFUNCTION("IMPORTRANGE(""https://docs.google.com/spreadsheets/d/1SX6NBoVAgQJ6U1MVXOaj8PK2l7WJ3RER9xtqwdhxkhw/edit?usp=sharing"",""อ่างทอง!I528"")"),52)</f>
        <v>52</v>
      </c>
      <c r="J633" s="341">
        <f ca="1">IFERROR(__xludf.DUMMYFUNCTION("IMPORTRANGE(""https://docs.google.com/spreadsheets/d/1SX6NBoVAgQJ6U1MVXOaj8PK2l7WJ3RER9xtqwdhxkhw/edit?usp=sharing"",""อ่างทอง!J528"")"),39)</f>
        <v>39</v>
      </c>
      <c r="K633" s="342">
        <f t="shared" ca="1" si="129"/>
        <v>75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IFERROR(__xludf.DUMMYFUNCTION("IMPORTRANGE(""https://docs.google.com/spreadsheets/d/1SX6NBoVAgQJ6U1MVXOaj8PK2l7WJ3RER9xtqwdhxkhw/edit?usp=sharing"",""อ่างทอง!I529"")"),900000)</f>
        <v>900000</v>
      </c>
      <c r="J634" s="341">
        <f ca="1">IFERROR(__xludf.DUMMYFUNCTION("IMPORTRANGE(""https://docs.google.com/spreadsheets/d/1SX6NBoVAgQJ6U1MVXOaj8PK2l7WJ3RER9xtqwdhxkhw/edit?usp=sharing"",""อ่างทอง!J529"")"),0)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IFERROR(__xludf.DUMMYFUNCTION("IMPORTRANGE(""https://docs.google.com/spreadsheets/d/1SX6NBoVAgQJ6U1MVXOaj8PK2l7WJ3RER9xtqwdhxkhw/edit?usp=sharing"",""อ่างทอง!I530"")"),30)</f>
        <v>30</v>
      </c>
      <c r="J635" s="504">
        <f ca="1">IFERROR(__xludf.DUMMYFUNCTION("IMPORTRANGE(""https://docs.google.com/spreadsheets/d/1SX6NBoVAgQJ6U1MVXOaj8PK2l7WJ3RER9xtqwdhxkhw/edit?usp=sharing"",""อ่างทอง!J530"")"),0)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IFERROR(__xludf.DUMMYFUNCTION("IMPORTRANGE(""https://docs.google.com/spreadsheets/d/1SX6NBoVAgQJ6U1MVXOaj8PK2l7WJ3RER9xtqwdhxkhw/edit#gid=346597447"",""อ่างทอง!J541"")"),0)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IFERROR(__xludf.DUMMYFUNCTION("IMPORTRANGE(""https://docs.google.com/spreadsheets/d/1SX6NBoVAgQJ6U1MVXOaj8PK2l7WJ3RER9xtqwdhxkhw/edit#gid=346597447"",""อ่างทอง!J542"")"),0)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IFERROR(__xludf.DUMMYFUNCTION("IMPORTRANGE(""https://docs.google.com/spreadsheets/d/1SX6NBoVAgQJ6U1MVXOaj8PK2l7WJ3RER9xtqwdhxkhw/edit#gid=346597447"",""อ่างทอง!I543"")"),0)</f>
        <v>0</v>
      </c>
      <c r="J648" s="536">
        <f ca="1">IFERROR(__xludf.DUMMYFUNCTION("IMPORTRANGE(""https://docs.google.com/spreadsheets/d/1SX6NBoVAgQJ6U1MVXOaj8PK2l7WJ3RER9xtqwdhxkhw/edit#gid=346597447"",""อ่างทอง!J543"")"),0)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IFERROR(__xludf.DUMMYFUNCTION("IMPORTRANGE(""https://docs.google.com/spreadsheets/d/1SX6NBoVAgQJ6U1MVXOaj8PK2l7WJ3RER9xtqwdhxkhw/edit#gid=346597447"",""อ่างทอง!L543"")"),0)</f>
        <v>0</v>
      </c>
      <c r="M648" s="521"/>
      <c r="N648" s="538">
        <f ca="1">IFERROR(__xludf.DUMMYFUNCTION("IMPORTRANGE(""https://docs.google.com/spreadsheets/d/1SX6NBoVAgQJ6U1MVXOaj8PK2l7WJ3RER9xtqwdhxkhw/edit#gid=346597447"",""อ่างทอง!M543"")"),0)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IFERROR(__xludf.DUMMYFUNCTION("IMPORTRANGE(""https://docs.google.com/spreadsheets/d/1SX6NBoVAgQJ6U1MVXOaj8PK2l7WJ3RER9xtqwdhxkhw/edit#gid=346597447"",""อ่างทอง!I544"")"),0)</f>
        <v>0</v>
      </c>
      <c r="J649" s="536">
        <f ca="1">IFERROR(__xludf.DUMMYFUNCTION("IMPORTRANGE(""https://docs.google.com/spreadsheets/d/1SX6NBoVAgQJ6U1MVXOaj8PK2l7WJ3RER9xtqwdhxkhw/edit#gid=346597447"",""อ่างทอง!J544"")"),0)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IFERROR(__xludf.DUMMYFUNCTION("IMPORTRANGE(""https://docs.google.com/spreadsheets/d/1SX6NBoVAgQJ6U1MVXOaj8PK2l7WJ3RER9xtqwdhxkhw/edit#gid=346597447"",""อ่างทอง!L544"")"),0)</f>
        <v>0</v>
      </c>
      <c r="M649" s="521"/>
      <c r="N649" s="538">
        <f ca="1">IFERROR(__xludf.DUMMYFUNCTION("IMPORTRANGE(""https://docs.google.com/spreadsheets/d/1SX6NBoVAgQJ6U1MVXOaj8PK2l7WJ3RER9xtqwdhxkhw/edit#gid=346597447"",""อ่างทอง!M544"")"),0)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IFERROR(__xludf.DUMMYFUNCTION("IMPORTRANGE(""https://docs.google.com/spreadsheets/d/1SX6NBoVAgQJ6U1MVXOaj8PK2l7WJ3RER9xtqwdhxkhw/edit#gid=346597447"",""อ่างทอง!I545"")"),0)</f>
        <v>0</v>
      </c>
      <c r="J650" s="536">
        <f ca="1">IFERROR(__xludf.DUMMYFUNCTION("IMPORTRANGE(""https://docs.google.com/spreadsheets/d/1SX6NBoVAgQJ6U1MVXOaj8PK2l7WJ3RER9xtqwdhxkhw/edit#gid=346597447"",""อ่างทอง!J545"")"),0)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IFERROR(__xludf.DUMMYFUNCTION("IMPORTRANGE(""https://docs.google.com/spreadsheets/d/1SX6NBoVAgQJ6U1MVXOaj8PK2l7WJ3RER9xtqwdhxkhw/edit#gid=346597447"",""อ่างทอง!L545"")"),0)</f>
        <v>0</v>
      </c>
      <c r="M650" s="521"/>
      <c r="N650" s="538">
        <f ca="1">IFERROR(__xludf.DUMMYFUNCTION("IMPORTRANGE(""https://docs.google.com/spreadsheets/d/1SX6NBoVAgQJ6U1MVXOaj8PK2l7WJ3RER9xtqwdhxkhw/edit#gid=346597447"",""อ่างทอง!M545"")"),0)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IFERROR(__xludf.DUMMYFUNCTION("IMPORTRANGE(""https://docs.google.com/spreadsheets/d/1SX6NBoVAgQJ6U1MVXOaj8PK2l7WJ3RER9xtqwdhxkhw/edit#gid=346597447"",""อ่างทอง!I546"")"),0)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IFERROR(__xludf.DUMMYFUNCTION("IMPORTRANGE(""https://docs.google.com/spreadsheets/d/1SX6NBoVAgQJ6U1MVXOaj8PK2l7WJ3RER9xtqwdhxkhw/edit#gid=346597447"",""อ่างทอง!L546"")"),0)</f>
        <v>0</v>
      </c>
      <c r="M651" s="521"/>
      <c r="N651" s="538">
        <f ca="1">IFERROR(__xludf.DUMMYFUNCTION("IMPORTRANGE(""https://docs.google.com/spreadsheets/d/1SX6NBoVAgQJ6U1MVXOaj8PK2l7WJ3RER9xtqwdhxkhw/edit#gid=346597447"",""อ่างทอง!M546"")"),0)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IFERROR(__xludf.DUMMYFUNCTION("IMPORTRANGE(""https://docs.google.com/spreadsheets/d/1SX6NBoVAgQJ6U1MVXOaj8PK2l7WJ3RER9xtqwdhxkhw/edit#gid=346597447"",""อ่างทอง!J547"")"),0)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IFERROR(__xludf.DUMMYFUNCTION("IMPORTRANGE(""https://docs.google.com/spreadsheets/d/1SX6NBoVAgQJ6U1MVXOaj8PK2l7WJ3RER9xtqwdhxkhw/edit#gid=346597447"",""อ่างทอง!J548"")"),0)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IFERROR(__xludf.DUMMYFUNCTION("IMPORTRANGE(""https://docs.google.com/spreadsheets/d/1SX6NBoVAgQJ6U1MVXOaj8PK2l7WJ3RER9xtqwdhxkhw/edit#gid=346597447"",""อ่างทอง!J550"")"),0)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IFERROR(__xludf.DUMMYFUNCTION("IMPORTRANGE(""https://docs.google.com/spreadsheets/d/1SX6NBoVAgQJ6U1MVXOaj8PK2l7WJ3RER9xtqwdhxkhw/edit#gid=346597447"",""อ่างทอง!J551"")"),0)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IFERROR(__xludf.DUMMYFUNCTION("IMPORTRANGE(""https://docs.google.com/spreadsheets/d/1SX6NBoVAgQJ6U1MVXOaj8PK2l7WJ3RER9xtqwdhxkhw/edit#gid=346597447"",""อ่างทอง!J552"")"),0)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IFERROR(__xludf.DUMMYFUNCTION("IMPORTRANGE(""https://docs.google.com/spreadsheets/d/1SX6NBoVAgQJ6U1MVXOaj8PK2l7WJ3RER9xtqwdhxkhw/edit#gid=346597447"",""อ่างทอง!J553"")"),0)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IFERROR(__xludf.DUMMYFUNCTION("IMPORTRANGE(""https://docs.google.com/spreadsheets/d/1SX6NBoVAgQJ6U1MVXOaj8PK2l7WJ3RER9xtqwdhxkhw/edit#gid=346597447"",""อ่างทอง!J554"")"),0)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IFERROR(__xludf.DUMMYFUNCTION("IMPORTRANGE(""https://docs.google.com/spreadsheets/d/1SX6NBoVAgQJ6U1MVXOaj8PK2l7WJ3RER9xtqwdhxkhw/edit#gid=346597447"",""อ่างทอง!J555"")"),0)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IFERROR(__xludf.DUMMYFUNCTION("IMPORTRANGE(""https://docs.google.com/spreadsheets/d/1SX6NBoVAgQJ6U1MVXOaj8PK2l7WJ3RER9xtqwdhxkhw/edit#gid=346597447"",""อ่างทอง!J556"")"),0)</f>
        <v>0</v>
      </c>
      <c r="K661" s="537"/>
      <c r="L661" s="522">
        <f ca="1">IFERROR(__xludf.DUMMYFUNCTION("IMPORTRANGE(""https://docs.google.com/spreadsheets/d/1SX6NBoVAgQJ6U1MVXOaj8PK2l7WJ3RER9xtqwdhxkhw/edit#gid=346597447"",""อ่างทอง!L556"")"),0)</f>
        <v>0</v>
      </c>
      <c r="M661" s="521"/>
      <c r="N661" s="538">
        <f ca="1">IFERROR(__xludf.DUMMYFUNCTION("IMPORTRANGE(""https://docs.google.com/spreadsheets/d/1SX6NBoVAgQJ6U1MVXOaj8PK2l7WJ3RER9xtqwdhxkhw/edit#gid=346597447"",""อ่างทอง!M556"")"),0)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IFERROR(__xludf.DUMMYFUNCTION("IMPORTRANGE(""https://docs.google.com/spreadsheets/d/1SX6NBoVAgQJ6U1MVXOaj8PK2l7WJ3RER9xtqwdhxkhw/edit#gid=346597447"",""อ่างทอง!J557"")"),0)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IFERROR(__xludf.DUMMYFUNCTION("IMPORTRANGE(""https://docs.google.com/spreadsheets/d/1SX6NBoVAgQJ6U1MVXOaj8PK2l7WJ3RER9xtqwdhxkhw/edit#gid=346597447"",""อ่างทอง!I558"")"),0)</f>
        <v>0</v>
      </c>
      <c r="J663" s="536">
        <f ca="1">IFERROR(__xludf.DUMMYFUNCTION("IMPORTRANGE(""https://docs.google.com/spreadsheets/d/1SX6NBoVAgQJ6U1MVXOaj8PK2l7WJ3RER9xtqwdhxkhw/edit#gid=346597447"",""อ่างทอง!J558"")"),0)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IFERROR(__xludf.DUMMYFUNCTION("IMPORTRANGE(""https://docs.google.com/spreadsheets/d/1SX6NBoVAgQJ6U1MVXOaj8PK2l7WJ3RER9xtqwdhxkhw/edit#gid=346597447"",""อ่างทอง!I560"")"),0)</f>
        <v>0</v>
      </c>
      <c r="J665" s="536">
        <f ca="1">IFERROR(__xludf.DUMMYFUNCTION("IMPORTRANGE(""https://docs.google.com/spreadsheets/d/1SX6NBoVAgQJ6U1MVXOaj8PK2l7WJ3RER9xtqwdhxkhw/edit#gid=346597447"",""อ่างทอง!J560"")"),0)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IFERROR(__xludf.DUMMYFUNCTION("IMPORTRANGE(""https://docs.google.com/spreadsheets/d/1SX6NBoVAgQJ6U1MVXOaj8PK2l7WJ3RER9xtqwdhxkhw/edit#gid=346597447"",""อ่างทอง!L560"")"),0)</f>
        <v>0</v>
      </c>
      <c r="M665" s="521"/>
      <c r="N665" s="538">
        <f ca="1">IFERROR(__xludf.DUMMYFUNCTION("IMPORTRANGE(""https://docs.google.com/spreadsheets/d/1SX6NBoVAgQJ6U1MVXOaj8PK2l7WJ3RER9xtqwdhxkhw/edit#gid=346597447"",""อ่างทอง!M560"")"),0)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IFERROR(__xludf.DUMMYFUNCTION("IMPORTRANGE(""https://docs.google.com/spreadsheets/d/1SX6NBoVAgQJ6U1MVXOaj8PK2l7WJ3RER9xtqwdhxkhw/edit#gid=346597447"",""อ่างทอง!J561"")"),0)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IFERROR(__xludf.DUMMYFUNCTION("IMPORTRANGE(""https://docs.google.com/spreadsheets/d/1SX6NBoVAgQJ6U1MVXOaj8PK2l7WJ3RER9xtqwdhxkhw/edit#gid=346597447"",""อ่างทอง!J562"")"),0)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IFERROR(__xludf.DUMMYFUNCTION("IMPORTRANGE(""https://docs.google.com/spreadsheets/d/1SX6NBoVAgQJ6U1MVXOaj8PK2l7WJ3RER9xtqwdhxkhw/edit#gid=346597447"",""อ่างทอง!I563"")"),0)</f>
        <v>0</v>
      </c>
      <c r="J668" s="536">
        <f ca="1">IFERROR(__xludf.DUMMYFUNCTION("IMPORTRANGE(""https://docs.google.com/spreadsheets/d/1SX6NBoVAgQJ6U1MVXOaj8PK2l7WJ3RER9xtqwdhxkhw/edit#gid=346597447"",""อ่างทอง!J563"")"),0)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IFERROR(__xludf.DUMMYFUNCTION("IMPORTRANGE(""https://docs.google.com/spreadsheets/d/1SX6NBoVAgQJ6U1MVXOaj8PK2l7WJ3RER9xtqwdhxkhw/edit#gid=346597447"",""อ่างทอง!L563"")"),0)</f>
        <v>0</v>
      </c>
      <c r="M668" s="521"/>
      <c r="N668" s="538">
        <f ca="1">IFERROR(__xludf.DUMMYFUNCTION("IMPORTRANGE(""https://docs.google.com/spreadsheets/d/1SX6NBoVAgQJ6U1MVXOaj8PK2l7WJ3RER9xtqwdhxkhw/edit#gid=346597447"",""อ่างทอง!M563"")"),0)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IFERROR(__xludf.DUMMYFUNCTION("IMPORTRANGE(""https://docs.google.com/spreadsheets/d/1SX6NBoVAgQJ6U1MVXOaj8PK2l7WJ3RER9xtqwdhxkhw/edit#gid=346597447"",""อ่างทอง!J564"")"),0)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IFERROR(__xludf.DUMMYFUNCTION("IMPORTRANGE(""https://docs.google.com/spreadsheets/d/1SX6NBoVAgQJ6U1MVXOaj8PK2l7WJ3RER9xtqwdhxkhw/edit#gid=346597447"",""อ่างทอง!J565"")"),0)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IFERROR(__xludf.DUMMYFUNCTION("IMPORTRANGE(""https://docs.google.com/spreadsheets/d/1SX6NBoVAgQJ6U1MVXOaj8PK2l7WJ3RER9xtqwdhxkhw/edit#gid=346597447"",""อ่างทอง!I566"")"),0)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IFERROR(__xludf.DUMMYFUNCTION("IMPORTRANGE(""https://docs.google.com/spreadsheets/d/1SX6NBoVAgQJ6U1MVXOaj8PK2l7WJ3RER9xtqwdhxkhw/edit#gid=346597447"",""อ่างทอง!L566"")"),0)</f>
        <v>0</v>
      </c>
      <c r="M671" s="521"/>
      <c r="N671" s="538">
        <f ca="1">IFERROR(__xludf.DUMMYFUNCTION("IMPORTRANGE(""https://docs.google.com/spreadsheets/d/1SX6NBoVAgQJ6U1MVXOaj8PK2l7WJ3RER9xtqwdhxkhw/edit#gid=346597447"",""อ่างทอง!M566"")"),0)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IFERROR(__xludf.DUMMYFUNCTION("IMPORTRANGE(""https://docs.google.com/spreadsheets/d/1SX6NBoVAgQJ6U1MVXOaj8PK2l7WJ3RER9xtqwdhxkhw/edit#gid=346597447"",""อ่างทอง!J567"")"),0)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IFERROR(__xludf.DUMMYFUNCTION("IMPORTRANGE(""https://docs.google.com/spreadsheets/d/1SX6NBoVAgQJ6U1MVXOaj8PK2l7WJ3RER9xtqwdhxkhw/edit#gid=346597447"",""อ่างทอง!J568"")"),0)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IFERROR(__xludf.DUMMYFUNCTION("IMPORTRANGE(""https://docs.google.com/spreadsheets/d/1SX6NBoVAgQJ6U1MVXOaj8PK2l7WJ3RER9xtqwdhxkhw/edit#gid=346597447"",""อ่างทอง!J569"")"),0)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IFERROR(__xludf.DUMMYFUNCTION("IMPORTRANGE(""https://docs.google.com/spreadsheets/d/1SX6NBoVAgQJ6U1MVXOaj8PK2l7WJ3RER9xtqwdhxkhw/edit#gid=346597447"",""อ่างทอง!J570"")"),0)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IFERROR(__xludf.DUMMYFUNCTION("IMPORTRANGE(""https://docs.google.com/spreadsheets/d/1SX6NBoVAgQJ6U1MVXOaj8PK2l7WJ3RER9xtqwdhxkhw/edit#gid=346597447"",""อ่างทอง!J571"")"),0)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IFERROR(__xludf.DUMMYFUNCTION("IMPORTRANGE(""https://docs.google.com/spreadsheets/d/1SX6NBoVAgQJ6U1MVXOaj8PK2l7WJ3RER9xtqwdhxkhw/edit#gid=346597447"",""อ่างทอง!J572"")"),0)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K4" sqref="K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4162768</v>
      </c>
      <c r="M8" s="23">
        <f t="shared" ca="1" si="0"/>
        <v>2650015</v>
      </c>
      <c r="N8" s="23">
        <f t="shared" ca="1" si="0"/>
        <v>1962904.6400000001</v>
      </c>
      <c r="O8" s="22">
        <f t="shared" ref="O8:O16" ca="1" si="1">IF(L8&gt;0,N8*100/L8,0)</f>
        <v>47.15383225776695</v>
      </c>
      <c r="P8" s="22">
        <f t="shared" ref="P8:P16" ca="1" si="2">IF(M8&gt;0,N8*100/M8,0)</f>
        <v>74.071453935166403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4162768</v>
      </c>
      <c r="M10" s="30">
        <f t="shared" ca="1" si="4"/>
        <v>2650015</v>
      </c>
      <c r="N10" s="30">
        <f t="shared" ca="1" si="4"/>
        <v>1962904.6400000001</v>
      </c>
      <c r="O10" s="29">
        <f t="shared" ca="1" si="1"/>
        <v>47.15383225776695</v>
      </c>
      <c r="P10" s="29">
        <f t="shared" ca="1" si="2"/>
        <v>74.071453935166403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3872668</v>
      </c>
      <c r="M12" s="38">
        <f t="shared" ca="1" si="6"/>
        <v>2359915</v>
      </c>
      <c r="N12" s="38">
        <f t="shared" ca="1" si="6"/>
        <v>1672804.6400000001</v>
      </c>
      <c r="O12" s="38">
        <f t="shared" ca="1" si="1"/>
        <v>43.195147118214109</v>
      </c>
      <c r="P12" s="38">
        <f t="shared" ca="1" si="2"/>
        <v>70.88410557159898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2378368</v>
      </c>
      <c r="M14" s="38">
        <f t="shared" si="8"/>
        <v>0</v>
      </c>
      <c r="N14" s="38">
        <f t="shared" ca="1" si="8"/>
        <v>284979</v>
      </c>
      <c r="O14" s="38">
        <f t="shared" ca="1" si="1"/>
        <v>11.982123876540552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3130545</v>
      </c>
      <c r="M18" s="23">
        <f t="shared" ca="1" si="11"/>
        <v>2650015</v>
      </c>
      <c r="N18" s="23">
        <f t="shared" ca="1" si="11"/>
        <v>1677925.6400000001</v>
      </c>
      <c r="O18" s="22">
        <f t="shared" ref="O18:O20" ca="1" si="12">IF(L18&gt;0,N18*100/L18,0)</f>
        <v>53.598515274496933</v>
      </c>
      <c r="P18" s="22">
        <f t="shared" ref="P18:P26" ca="1" si="13">IF(M18&gt;0,N18*100/M18,0)</f>
        <v>63.317590277790877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3130545</v>
      </c>
      <c r="M20" s="30">
        <f t="shared" ca="1" si="15"/>
        <v>2650015</v>
      </c>
      <c r="N20" s="30">
        <f t="shared" ca="1" si="15"/>
        <v>1677925.6400000001</v>
      </c>
      <c r="O20" s="29">
        <f t="shared" ca="1" si="12"/>
        <v>53.598515274496933</v>
      </c>
      <c r="P20" s="29">
        <f t="shared" ca="1" si="13"/>
        <v>63.317590277790877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2840445</v>
      </c>
      <c r="M22" s="41">
        <f t="shared" ca="1" si="18"/>
        <v>2359915</v>
      </c>
      <c r="N22" s="38">
        <f t="shared" ca="1" si="18"/>
        <v>1387825.6400000001</v>
      </c>
      <c r="O22" s="38">
        <f t="shared" ca="1" si="17"/>
        <v>48.859444206805627</v>
      </c>
      <c r="P22" s="38">
        <f t="shared" ca="1" si="13"/>
        <v>58.808289281605482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1032223</v>
      </c>
      <c r="M28" s="23">
        <f t="shared" si="23"/>
        <v>0</v>
      </c>
      <c r="N28" s="23">
        <f t="shared" ca="1" si="23"/>
        <v>284979</v>
      </c>
      <c r="O28" s="22">
        <f t="shared" ref="O28:O30" ca="1" si="24">IF(L28&gt;0,N28*100/L28,0)</f>
        <v>27.608278443708386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1032223</v>
      </c>
      <c r="M30" s="30">
        <f t="shared" si="27"/>
        <v>0</v>
      </c>
      <c r="N30" s="30">
        <f t="shared" ca="1" si="27"/>
        <v>284979</v>
      </c>
      <c r="O30" s="29">
        <f t="shared" ca="1" si="24"/>
        <v>27.608278443708386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1032223</v>
      </c>
      <c r="M32" s="38">
        <f t="shared" si="30"/>
        <v>0</v>
      </c>
      <c r="N32" s="38">
        <f t="shared" ca="1" si="30"/>
        <v>284979</v>
      </c>
      <c r="O32" s="38">
        <f t="shared" ca="1" si="29"/>
        <v>27.608278443708386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1032223</v>
      </c>
      <c r="M34" s="38">
        <f t="shared" si="32"/>
        <v>0</v>
      </c>
      <c r="N34" s="38">
        <f t="shared" ca="1" si="32"/>
        <v>284979</v>
      </c>
      <c r="O34" s="38">
        <f t="shared" ca="1" si="29"/>
        <v>27.608278443708386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3130545</v>
      </c>
      <c r="M37" s="54">
        <f t="shared" ca="1" si="33"/>
        <v>2650015</v>
      </c>
      <c r="N37" s="54">
        <f t="shared" ca="1" si="33"/>
        <v>1677925.6400000001</v>
      </c>
      <c r="O37" s="55">
        <f t="shared" ca="1" si="29"/>
        <v>53.598515274496933</v>
      </c>
      <c r="P37" s="55">
        <f t="shared" ca="1" si="25"/>
        <v>63.317590277790877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460600</v>
      </c>
      <c r="N41" s="78">
        <f t="shared" ca="1" si="34"/>
        <v>306693.63</v>
      </c>
      <c r="O41" s="77">
        <f t="shared" ref="O41:O43" ca="1" si="35">IF(L41&gt;0,N41*100/L41,0)</f>
        <v>49.941968734733756</v>
      </c>
      <c r="P41" s="77">
        <f t="shared" ref="P41:P43" ca="1" si="36">IF(M41&gt;0,N41*100/M41,0)</f>
        <v>66.585677377333909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460600</v>
      </c>
      <c r="N43" s="78">
        <f t="shared" ca="1" si="38"/>
        <v>306693.63</v>
      </c>
      <c r="O43" s="77">
        <f t="shared" ca="1" si="35"/>
        <v>49.941968734733756</v>
      </c>
      <c r="P43" s="77">
        <f t="shared" ca="1" si="36"/>
        <v>66.585677377333909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IFERROR(__xludf.DUMMYFUNCTION("IMPORTRANGE(""https://docs.google.com/spreadsheets/d/1Yj_ptqi66GCucihVvJfMjLAmec39IyEx_6qawtMGysU/edit?usp=sharing"",""สบก!Q60"")"),460600)</f>
        <v>460600</v>
      </c>
      <c r="N45" s="49">
        <f ca="1">IFERROR(__xludf.DUMMYFUNCTION("IMPORTRANGE(""https://docs.google.com/spreadsheets/d/1Yj_ptqi66GCucihVvJfMjLAmec39IyEx_6qawtMGysU/edit?usp=sharing"",""สบก!R60"")"),306693.63)</f>
        <v>306693.63</v>
      </c>
      <c r="O45" s="38">
        <f ca="1">IF(L45&gt;0,N45*100/L45,0)</f>
        <v>49.941968734733756</v>
      </c>
      <c r="P45" s="38">
        <f ca="1">IF(M45&gt;0,N45*100/M45,0)</f>
        <v>66.585677377333909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256245</v>
      </c>
      <c r="N53" s="121">
        <f t="shared" ca="1" si="39"/>
        <v>191189</v>
      </c>
      <c r="O53" s="120">
        <f t="shared" ref="O53:O55" ca="1" si="40">IF(L53&gt;0,N53*100/L53,0)</f>
        <v>71.606367041198496</v>
      </c>
      <c r="P53" s="120">
        <f t="shared" ref="P53:P55" ca="1" si="41">IF(M53&gt;0,N53*100/M53,0)</f>
        <v>74.61179730336201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256245</v>
      </c>
      <c r="N55" s="121">
        <f t="shared" ca="1" si="43"/>
        <v>191189</v>
      </c>
      <c r="O55" s="120">
        <f t="shared" ca="1" si="40"/>
        <v>71.606367041198496</v>
      </c>
      <c r="P55" s="120">
        <f t="shared" ca="1" si="41"/>
        <v>74.61179730336201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IFERROR(__xludf.DUMMYFUNCTION("IMPORTRANGE(""https://docs.google.com/spreadsheets/d/1Yj_ptqi66GCucihVvJfMjLAmec39IyEx_6qawtMGysU/edit?usp=sharing"",""สบก!Z60"")"),256245)</f>
        <v>256245</v>
      </c>
      <c r="N57" s="49">
        <f ca="1">IFERROR(__xludf.DUMMYFUNCTION("IMPORTRANGE(""https://docs.google.com/spreadsheets/d/1Yj_ptqi66GCucihVvJfMjLAmec39IyEx_6qawtMGysU/edit?usp=sharing"",""สบก!AA60"")"),191189)</f>
        <v>191189</v>
      </c>
      <c r="O57" s="38">
        <f ca="1">IF(L57&gt;0,N57*100/L57,0)</f>
        <v>71.606367041198496</v>
      </c>
      <c r="P57" s="38">
        <f ca="1">IF(M57&gt;0,N57*100/M57,0)</f>
        <v>74.61179730336201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1003300</v>
      </c>
      <c r="M66" s="152">
        <f t="shared" ca="1" si="45"/>
        <v>887120</v>
      </c>
      <c r="N66" s="152">
        <f t="shared" ca="1" si="45"/>
        <v>525134.01</v>
      </c>
      <c r="O66" s="151">
        <f t="shared" ref="O66:O68" ca="1" si="46">IF(L66&gt;0,N66*100/L66,0)</f>
        <v>52.340676766669986</v>
      </c>
      <c r="P66" s="151">
        <f t="shared" ref="P66:P68" ca="1" si="47">IF(M66&gt;0,N66*100/M66,0)</f>
        <v>59.195374921092977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1003300</v>
      </c>
      <c r="M68" s="157">
        <f t="shared" ca="1" si="49"/>
        <v>887120</v>
      </c>
      <c r="N68" s="157">
        <f t="shared" ca="1" si="49"/>
        <v>525134.01</v>
      </c>
      <c r="O68" s="156">
        <f t="shared" ca="1" si="46"/>
        <v>52.340676766669986</v>
      </c>
      <c r="P68" s="156">
        <f t="shared" ca="1" si="47"/>
        <v>59.195374921092977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713200</v>
      </c>
      <c r="M70" s="168">
        <f ca="1">IFERROR(__xludf.DUMMYFUNCTION("IMPORTRANGE(""https://docs.google.com/spreadsheets/d/1Yj_ptqi66GCucihVvJfMjLAmec39IyEx_6qawtMGysU/edit?usp=sharing"",""สบก!AI60"")"),597020)</f>
        <v>597020</v>
      </c>
      <c r="N70" s="169">
        <f ca="1">IFERROR(__xludf.DUMMYFUNCTION("IMPORTRANGE(""https://docs.google.com/spreadsheets/d/1Yj_ptqi66GCucihVvJfMjLAmec39IyEx_6qawtMGysU/edit?usp=sharing"",""สบก!AJ60"")"),235034.01)</f>
        <v>235034.01</v>
      </c>
      <c r="O70" s="169">
        <f ca="1">IF(L70&gt;0,N70*100/L70,0)</f>
        <v>32.954852776219852</v>
      </c>
      <c r="P70" s="169">
        <f ca="1">IF(M70&gt;0,N70*100/M70,0)</f>
        <v>39.36786204817259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IFERROR(__xludf.DUMMYFUNCTION("IMPORTRANGE(""https://docs.google.com/spreadsheets/d/1Yj_ptqi66GCucihVvJfMjLAmec39IyEx_6qawtMGysU/edit?usp=sharing"",""สบก!AF60"")"),538000)</f>
        <v>538000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IFERROR(__xludf.DUMMYFUNCTION("IMPORTRANGE(""https://docs.google.com/spreadsheets/d/1SX6NBoVAgQJ6U1MVXOaj8PK2l7WJ3RER9xtqwdhxkhw/edit?usp=sharing"",""จันทบุรี!I28"")"),0)</f>
        <v>0</v>
      </c>
      <c r="J88" s="204">
        <f ca="1">IFERROR(__xludf.DUMMYFUNCTION("IMPORTRANGE(""https://docs.google.com/spreadsheets/d/1SX6NBoVAgQJ6U1MVXOaj8PK2l7WJ3RER9xtqwdhxkhw/edit?usp=sharing"",""จันทบุรี!J28"")"),0)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IFERROR(__xludf.DUMMYFUNCTION("IMPORTRANGE(""https://docs.google.com/spreadsheets/d/1SX6NBoVAgQJ6U1MVXOaj8PK2l7WJ3RER9xtqwdhxkhw/edit?usp=sharing"",""จันทบุรี!J50"")"),0)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IFERROR(__xludf.DUMMYFUNCTION("IMPORTRANGE(""https://docs.google.com/spreadsheets/d/1SX6NBoVAgQJ6U1MVXOaj8PK2l7WJ3RER9xtqwdhxkhw/edit?usp=sharing"",""จันทบุรี!J65"")"),0)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IFERROR(__xludf.DUMMYFUNCTION("IMPORTRANGE(""https://docs.google.com/spreadsheets/d/1SX6NBoVAgQJ6U1MVXOaj8PK2l7WJ3RER9xtqwdhxkhw/edit?usp=sharing"",""จันทบุรี!I68"")"),20)</f>
        <v>20</v>
      </c>
      <c r="J138" s="267">
        <f ca="1">IFERROR(__xludf.DUMMYFUNCTION("IMPORTRANGE(""https://docs.google.com/spreadsheets/d/1SX6NBoVAgQJ6U1MVXOaj8PK2l7WJ3RER9xtqwdhxkhw/edit?usp=sharing"",""จันทบุรี!J68"")"),20)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198425</v>
      </c>
      <c r="N140" s="152">
        <f t="shared" ca="1" si="64"/>
        <v>124241</v>
      </c>
      <c r="O140" s="151">
        <f t="shared" ref="O140:O142" ca="1" si="65">IF(L140&gt;0,N140*100/L140,0)</f>
        <v>48.645653876272512</v>
      </c>
      <c r="P140" s="151">
        <f t="shared" ref="P140:P142" ca="1" si="66">IF(M140&gt;0,N140*100/M140,0)</f>
        <v>62.613581957918612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198425</v>
      </c>
      <c r="N142" s="157">
        <f t="shared" ca="1" si="68"/>
        <v>124241</v>
      </c>
      <c r="O142" s="156">
        <f t="shared" ca="1" si="65"/>
        <v>48.645653876272512</v>
      </c>
      <c r="P142" s="156">
        <f t="shared" ca="1" si="66"/>
        <v>62.613581957918612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IFERROR(__xludf.DUMMYFUNCTION("IMPORTRANGE(""https://docs.google.com/spreadsheets/d/1Yj_ptqi66GCucihVvJfMjLAmec39IyEx_6qawtMGysU/edit?usp=sharing"",""สบก!BJ60"")"),198425)</f>
        <v>198425</v>
      </c>
      <c r="N144" s="169">
        <f ca="1">IFERROR(__xludf.DUMMYFUNCTION("IMPORTRANGE(""https://docs.google.com/spreadsheets/d/1Yj_ptqi66GCucihVvJfMjLAmec39IyEx_6qawtMGysU/edit?usp=sharing"",""สบก!BK60"")"),124241)</f>
        <v>124241</v>
      </c>
      <c r="O144" s="169">
        <f ca="1">IF(L144&gt;0,N144*100/L144,0)</f>
        <v>48.645653876272512</v>
      </c>
      <c r="P144" s="169">
        <f ca="1">IF(M144&gt;0,N144*100/M144,0)</f>
        <v>62.613581957918612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IFERROR(__xludf.DUMMYFUNCTION("IMPORTRANGE(""https://docs.google.com/spreadsheets/d/1SX6NBoVAgQJ6U1MVXOaj8PK2l7WJ3RER9xtqwdhxkhw/edit?usp=sharing"",""จันทบุรี!I74"")"),4)</f>
        <v>4</v>
      </c>
      <c r="J149" s="275">
        <f ca="1">IFERROR(__xludf.DUMMYFUNCTION("IMPORTRANGE(""https://docs.google.com/spreadsheets/d/1SX6NBoVAgQJ6U1MVXOaj8PK2l7WJ3RER9xtqwdhxkhw/edit?usp=sharing"",""จันทบุรี!J74"")"),2)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IFERROR(__xludf.DUMMYFUNCTION("IMPORTRANGE(""https://docs.google.com/spreadsheets/d/1SX6NBoVAgQJ6U1MVXOaj8PK2l7WJ3RER9xtqwdhxkhw/edit?usp=sharing"",""จันทบุรี!J84"")"),150)</f>
        <v>150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IFERROR(__xludf.DUMMYFUNCTION("IMPORTRANGE(""https://docs.google.com/spreadsheets/d/1SX6NBoVAgQJ6U1MVXOaj8PK2l7WJ3RER9xtqwdhxkhw/edit?usp=sharing"",""จันทบุรี!J85"")"),150)</f>
        <v>150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IFERROR(__xludf.DUMMYFUNCTION("IMPORTRANGE(""https://docs.google.com/spreadsheets/d/1SX6NBoVAgQJ6U1MVXOaj8PK2l7WJ3RER9xtqwdhxkhw/edit?usp=sharing"",""จันทบุรี!J88"")"),0)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IFERROR(__xludf.DUMMYFUNCTION("IMPORTRANGE(""https://docs.google.com/spreadsheets/d/1SX6NBoVAgQJ6U1MVXOaj8PK2l7WJ3RER9xtqwdhxkhw/edit?usp=sharing"",""จันทบุรี!I89"")"),2)</f>
        <v>2</v>
      </c>
      <c r="J164" s="284">
        <f ca="1">IFERROR(__xludf.DUMMYFUNCTION("IMPORTRANGE(""https://docs.google.com/spreadsheets/d/1SX6NBoVAgQJ6U1MVXOaj8PK2l7WJ3RER9xtqwdhxkhw/edit?usp=sharing"",""จันทบุรี!J89"")"),2)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IFERROR(__xludf.DUMMYFUNCTION("IMPORTRANGE(""https://docs.google.com/spreadsheets/d/1SX6NBoVAgQJ6U1MVXOaj8PK2l7WJ3RER9xtqwdhxkhw/edit?usp=sharing"",""จันทบุรี!J100"")"),0)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IFERROR(__xludf.DUMMYFUNCTION("IMPORTRANGE(""https://docs.google.com/spreadsheets/d/1SX6NBoVAgQJ6U1MVXOaj8PK2l7WJ3RER9xtqwdhxkhw/edit?usp=sharing"",""จันทบุรี!I101"")"),1)</f>
        <v>1</v>
      </c>
      <c r="J176" s="284">
        <f ca="1">IFERROR(__xludf.DUMMYFUNCTION("IMPORTRANGE(""https://docs.google.com/spreadsheets/d/1SX6NBoVAgQJ6U1MVXOaj8PK2l7WJ3RER9xtqwdhxkhw/edit?usp=sharing"",""จันทบุรี!J101"")"),1)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IFERROR(__xludf.DUMMYFUNCTION("IMPORTRANGE(""https://docs.google.com/spreadsheets/d/1SX6NBoVAgQJ6U1MVXOaj8PK2l7WJ3RER9xtqwdhxkhw/edit?usp=sharing"",""จันทบุรี!J110"")"),1)</f>
        <v>1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IFERROR(__xludf.DUMMYFUNCTION("IMPORTRANGE(""https://docs.google.com/spreadsheets/d/1SX6NBoVAgQJ6U1MVXOaj8PK2l7WJ3RER9xtqwdhxkhw/edit?usp=sharing"",""จันทบุรี!J113"")"),0)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IFERROR(__xludf.DUMMYFUNCTION("IMPORTRANGE(""https://docs.google.com/spreadsheets/d/1SX6NBoVAgQJ6U1MVXOaj8PK2l7WJ3RER9xtqwdhxkhw/edit?usp=sharing"",""จันทบุรี!I114"")"),12800)</f>
        <v>12800</v>
      </c>
      <c r="J189" s="284">
        <f ca="1">IFERROR(__xludf.DUMMYFUNCTION("IMPORTRANGE(""https://docs.google.com/spreadsheets/d/1SX6NBoVAgQJ6U1MVXOaj8PK2l7WJ3RER9xtqwdhxkhw/edit?usp=sharing"",""จันทบุรี!J114"")"),0)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IFERROR(__xludf.DUMMYFUNCTION("IMPORTRANGE(""https://docs.google.com/spreadsheets/d/1SX6NBoVAgQJ6U1MVXOaj8PK2l7WJ3RER9xtqwdhxkhw/edit?usp=sharing"",""จันทบุรี!J128"")"),0)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IFERROR(__xludf.DUMMYFUNCTION("IMPORTRANGE(""https://docs.google.com/spreadsheets/d/1SX6NBoVAgQJ6U1MVXOaj8PK2l7WJ3RER9xtqwdhxkhw/edit?usp=sharing"",""จันทบุรี!I129"")"),20)</f>
        <v>20</v>
      </c>
      <c r="J204" s="284">
        <f ca="1">IFERROR(__xludf.DUMMYFUNCTION("IMPORTRANGE(""https://docs.google.com/spreadsheets/d/1SX6NBoVAgQJ6U1MVXOaj8PK2l7WJ3RER9xtqwdhxkhw/edit?usp=sharing"",""จันทบุรี!J129"")"),20)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IFERROR(__xludf.DUMMYFUNCTION("IMPORTRANGE(""https://docs.google.com/spreadsheets/d/1SX6NBoVAgQJ6U1MVXOaj8PK2l7WJ3RER9xtqwdhxkhw/edit?usp=sharing"",""จันทบุรี!J143"")"),0)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IFERROR(__xludf.DUMMYFUNCTION("IMPORTRANGE(""https://docs.google.com/spreadsheets/d/1SX6NBoVAgQJ6U1MVXOaj8PK2l7WJ3RER9xtqwdhxkhw/edit?usp=sharing"",""จันทบุรี!I144"")"),13)</f>
        <v>13</v>
      </c>
      <c r="J219" s="267">
        <f ca="1">IFERROR(__xludf.DUMMYFUNCTION("IMPORTRANGE(""https://docs.google.com/spreadsheets/d/1SX6NBoVAgQJ6U1MVXOaj8PK2l7WJ3RER9xtqwdhxkhw/edit?usp=sharing"",""จันทบุรี!J144"")"),13)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IFERROR(__xludf.DUMMYFUNCTION("IMPORTRANGE(""https://docs.google.com/spreadsheets/d/1SX6NBoVAgQJ6U1MVXOaj8PK2l7WJ3RER9xtqwdhxkhw/edit?usp=sharing"",""จันทบุรี!I149"")"),13)</f>
        <v>13</v>
      </c>
      <c r="J229" s="267">
        <f ca="1">IFERROR(__xludf.DUMMYFUNCTION("IMPORTRANGE(""https://docs.google.com/spreadsheets/d/1SX6NBoVAgQJ6U1MVXOaj8PK2l7WJ3RER9xtqwdhxkhw/edit?usp=sharing"",""จันทบุรี!J149"")"),13)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IFERROR(__xludf.DUMMYFUNCTION("IMPORTRANGE(""https://docs.google.com/spreadsheets/d/1SX6NBoVAgQJ6U1MVXOaj8PK2l7WJ3RER9xtqwdhxkhw/edit?usp=sharing"",""จันทบุรี!J157"")"),0)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IFERROR(__xludf.DUMMYFUNCTION("IMPORTRANGE(""https://docs.google.com/spreadsheets/d/1SX6NBoVAgQJ6U1MVXOaj8PK2l7WJ3RER9xtqwdhxkhw/edit?usp=sharing"",""จันทบุรี!I158"")"),0)</f>
        <v>0</v>
      </c>
      <c r="J238" s="267">
        <f ca="1">IFERROR(__xludf.DUMMYFUNCTION("IMPORTRANGE(""https://docs.google.com/spreadsheets/d/1SX6NBoVAgQJ6U1MVXOaj8PK2l7WJ3RER9xtqwdhxkhw/edit?usp=sharing"",""จันทบุรี!J158"")"),0)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IFERROR(__xludf.DUMMYFUNCTION("IMPORTRANGE(""https://docs.google.com/spreadsheets/d/1SX6NBoVAgQJ6U1MVXOaj8PK2l7WJ3RER9xtqwdhxkhw/edit?usp=sharing"",""จันทบุรี!J166"")"),0)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IFERROR(__xludf.DUMMYFUNCTION("IMPORTRANGE(""https://docs.google.com/spreadsheets/d/1SX6NBoVAgQJ6U1MVXOaj8PK2l7WJ3RER9xtqwdhxkhw/edit?usp=sharing"",""จันทบุรี!I169"")"),25)</f>
        <v>25</v>
      </c>
      <c r="J249" s="316">
        <f ca="1">IFERROR(__xludf.DUMMYFUNCTION("IMPORTRANGE(""https://docs.google.com/spreadsheets/d/1SX6NBoVAgQJ6U1MVXOaj8PK2l7WJ3RER9xtqwdhxkhw/edit?usp=sharing"",""จันทบุรี!J169"")"),25)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82933</v>
      </c>
      <c r="O250" s="151">
        <f t="shared" ref="O250:O252" ca="1" si="78">IF(L250&gt;0,N250*100/L250,0)</f>
        <v>41.674874371859296</v>
      </c>
      <c r="P250" s="151">
        <f t="shared" ref="P250:P252" ca="1" si="79">IF(M250&gt;0,N250*100/M250,0)</f>
        <v>46.854802259887009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82933</v>
      </c>
      <c r="O252" s="156">
        <f t="shared" ca="1" si="78"/>
        <v>41.674874371859296</v>
      </c>
      <c r="P252" s="156">
        <f t="shared" ca="1" si="79"/>
        <v>46.854802259887009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IFERROR(__xludf.DUMMYFUNCTION("IMPORTRANGE(""https://docs.google.com/spreadsheets/d/1Yj_ptqi66GCucihVvJfMjLAmec39IyEx_6qawtMGysU/edit?usp=sharing"",""สบก!CB60"")"),177000)</f>
        <v>177000</v>
      </c>
      <c r="N254" s="169">
        <f ca="1">IFERROR(__xludf.DUMMYFUNCTION("IMPORTRANGE(""https://docs.google.com/spreadsheets/d/1Yj_ptqi66GCucihVvJfMjLAmec39IyEx_6qawtMGysU/edit?usp=sharing"",""สบก!CC60"")"),82933)</f>
        <v>82933</v>
      </c>
      <c r="O254" s="169">
        <f ca="1">IF(L254&gt;0,N254*100/L254,0)</f>
        <v>41.674874371859296</v>
      </c>
      <c r="P254" s="169">
        <f ca="1">IF(M254&gt;0,N254*100/M254,0)</f>
        <v>46.854802259887009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IFERROR(__xludf.DUMMYFUNCTION("IMPORTRANGE(""https://docs.google.com/spreadsheets/d/1SX6NBoVAgQJ6U1MVXOaj8PK2l7WJ3RER9xtqwdhxkhw/edit?usp=sharing"",""จันทบุรี!J184"")"),0)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IFERROR(__xludf.DUMMYFUNCTION("IMPORTRANGE(""https://docs.google.com/spreadsheets/d/1SX6NBoVAgQJ6U1MVXOaj8PK2l7WJ3RER9xtqwdhxkhw/edit?usp=sharing"",""จันทบุรี!I185"")"),15)</f>
        <v>15</v>
      </c>
      <c r="J270" s="316">
        <f ca="1">IFERROR(__xludf.DUMMYFUNCTION("IMPORTRANGE(""https://docs.google.com/spreadsheets/d/1SX6NBoVAgQJ6U1MVXOaj8PK2l7WJ3RER9xtqwdhxkhw/edit?usp=sharing"",""จันทบุรี!J185"")"),15)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28790</v>
      </c>
      <c r="O271" s="151">
        <f t="shared" ref="O271:O273" ca="1" si="84">IF(L271&gt;0,N271*100/L271,0)</f>
        <v>52.155797101449274</v>
      </c>
      <c r="P271" s="151">
        <f t="shared" ref="P271:P273" ca="1" si="85">IF(M271&gt;0,N271*100/M271,0)</f>
        <v>89.271317829457359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28790</v>
      </c>
      <c r="O273" s="156">
        <f t="shared" ca="1" si="84"/>
        <v>52.155797101449274</v>
      </c>
      <c r="P273" s="156">
        <f t="shared" ca="1" si="85"/>
        <v>89.271317829457359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IFERROR(__xludf.DUMMYFUNCTION("IMPORTRANGE(""https://docs.google.com/spreadsheets/d/1Yj_ptqi66GCucihVvJfMjLAmec39IyEx_6qawtMGysU/edit?usp=sharing"",""สบก!CK60"")"),32250)</f>
        <v>32250</v>
      </c>
      <c r="N275" s="169">
        <f ca="1">IFERROR(__xludf.DUMMYFUNCTION("IMPORTRANGE(""https://docs.google.com/spreadsheets/d/1Yj_ptqi66GCucihVvJfMjLAmec39IyEx_6qawtMGysU/edit?usp=sharing"",""สบก!CL60"")"),28790)</f>
        <v>28790</v>
      </c>
      <c r="O275" s="169">
        <f ca="1">IF(L275&gt;0,N275*100/L275,0)</f>
        <v>52.155797101449274</v>
      </c>
      <c r="P275" s="169">
        <f ca="1">IF(M275&gt;0,N275*100/M275,0)</f>
        <v>89.271317829457359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IFERROR(__xludf.DUMMYFUNCTION("IMPORTRANGE(""https://docs.google.com/spreadsheets/d/1SX6NBoVAgQJ6U1MVXOaj8PK2l7WJ3RER9xtqwdhxkhw/edit?usp=sharing"",""จันทบุรี!J197"")"),0)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IFERROR(__xludf.DUMMYFUNCTION("IMPORTRANGE(""https://docs.google.com/spreadsheets/d/1SX6NBoVAgQJ6U1MVXOaj8PK2l7WJ3RER9xtqwdhxkhw/edit?usp=sharing"",""จันทบุรี!I199"")"),0)</f>
        <v>0</v>
      </c>
      <c r="J289" s="316">
        <f ca="1">IFERROR(__xludf.DUMMYFUNCTION("IMPORTRANGE(""https://docs.google.com/spreadsheets/d/1SX6NBoVAgQJ6U1MVXOaj8PK2l7WJ3RER9xtqwdhxkhw/edit?usp=sharing"",""จันทบุรี!J199"")"),0)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IFERROR(__xludf.DUMMYFUNCTION("IMPORTRANGE(""https://docs.google.com/spreadsheets/d/1SX6NBoVAgQJ6U1MVXOaj8PK2l7WJ3RER9xtqwdhxkhw/edit?usp=sharing"",""จันทบุรี!J213"")"),0)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IFERROR(__xludf.DUMMYFUNCTION("IMPORTRANGE(""https://docs.google.com/spreadsheets/d/1SX6NBoVAgQJ6U1MVXOaj8PK2l7WJ3RER9xtqwdhxkhw/edit?usp=sharing"",""จันทบุรี!I214"")"),0)</f>
        <v>0</v>
      </c>
      <c r="J309" s="333">
        <f ca="1">IFERROR(__xludf.DUMMYFUNCTION("IMPORTRANGE(""https://docs.google.com/spreadsheets/d/1SX6NBoVAgQJ6U1MVXOaj8PK2l7WJ3RER9xtqwdhxkhw/edit?usp=sharing"",""จันทบุรี!J214"")"),0)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IFERROR(__xludf.DUMMYFUNCTION("IMPORTRANGE(""https://docs.google.com/spreadsheets/d/1SX6NBoVAgQJ6U1MVXOaj8PK2l7WJ3RER9xtqwdhxkhw/edit?usp=sharing"",""จันทบุรี!J226"")"),0)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IFERROR(__xludf.DUMMYFUNCTION("IMPORTRANGE(""https://docs.google.com/spreadsheets/d/1SX6NBoVAgQJ6U1MVXOaj8PK2l7WJ3RER9xtqwdhxkhw/edit?usp=sharing"",""จันทบุรี!I228"")"),160)</f>
        <v>160</v>
      </c>
      <c r="J328" s="339">
        <f ca="1">IFERROR(__xludf.DUMMYFUNCTION("IMPORTRANGE(""https://docs.google.com/spreadsheets/d/1SX6NBoVAgQJ6U1MVXOaj8PK2l7WJ3RER9xtqwdhxkhw/edit?usp=sharing"",""จันทบุรี!J228"")"),66)</f>
        <v>66</v>
      </c>
      <c r="K328" s="317">
        <f ca="1">IF(I328&gt;0,J328*100/I328,0)</f>
        <v>41.25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717250</v>
      </c>
      <c r="M329" s="152">
        <f t="shared" ca="1" si="98"/>
        <v>619080</v>
      </c>
      <c r="N329" s="152">
        <f t="shared" ca="1" si="98"/>
        <v>399650</v>
      </c>
      <c r="O329" s="151">
        <f t="shared" ref="O329:O331" ca="1" si="99">IF(L329&gt;0,N329*100/L329,0)</f>
        <v>55.719762983617983</v>
      </c>
      <c r="P329" s="151">
        <f t="shared" ref="P329:P331" ca="1" si="100">IF(M329&gt;0,N329*100/M329,0)</f>
        <v>64.555469406215678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717250</v>
      </c>
      <c r="M331" s="157">
        <f t="shared" ca="1" si="102"/>
        <v>619080</v>
      </c>
      <c r="N331" s="157">
        <f t="shared" ca="1" si="102"/>
        <v>399650</v>
      </c>
      <c r="O331" s="156">
        <f t="shared" ca="1" si="99"/>
        <v>55.719762983617983</v>
      </c>
      <c r="P331" s="156">
        <f t="shared" ca="1" si="100"/>
        <v>64.555469406215678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717250</v>
      </c>
      <c r="M333" s="168">
        <f ca="1">IFERROR(__xludf.DUMMYFUNCTION("IMPORTRANGE(""https://docs.google.com/spreadsheets/d/1Yj_ptqi66GCucihVvJfMjLAmec39IyEx_6qawtMGysU/edit?usp=sharing"",""สบก!DL60"")"),619080)</f>
        <v>619080</v>
      </c>
      <c r="N333" s="169">
        <f ca="1">IFERROR(__xludf.DUMMYFUNCTION("IMPORTRANGE(""https://docs.google.com/spreadsheets/d/1Yj_ptqi66GCucihVvJfMjLAmec39IyEx_6qawtMGysU/edit?usp=sharing"",""สบก!DM60"")"),399650)</f>
        <v>399650</v>
      </c>
      <c r="O333" s="169">
        <f ca="1">IF(L333&gt;0,N333*100/L333,0)</f>
        <v>55.719762983617983</v>
      </c>
      <c r="P333" s="169">
        <f ca="1">IF(M333&gt;0,N333*100/M333,0)</f>
        <v>64.555469406215678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IFERROR(__xludf.DUMMYFUNCTION("IMPORTRANGE(""https://docs.google.com/spreadsheets/d/1Yj_ptqi66GCucihVvJfMjLAmec39IyEx_6qawtMGysU/edit?usp=sharing"",""สบก!DI60"")"),411250)</f>
        <v>411250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IFERROR(__xludf.DUMMYFUNCTION("IMPORTRANGE(""https://docs.google.com/spreadsheets/d/1SX6NBoVAgQJ6U1MVXOaj8PK2l7WJ3RER9xtqwdhxkhw/edit?usp=sharing"",""จันทบุรี!J234"")"),102)</f>
        <v>102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IFERROR(__xludf.DUMMYFUNCTION("IMPORTRANGE(""https://docs.google.com/spreadsheets/d/1SX6NBoVAgQJ6U1MVXOaj8PK2l7WJ3RER9xtqwdhxkhw/edit?usp=sharing"",""จันทบุรี!I235"")"),2750)</f>
        <v>2750</v>
      </c>
      <c r="J340" s="188">
        <f ca="1">IFERROR(__xludf.DUMMYFUNCTION("IMPORTRANGE(""https://docs.google.com/spreadsheets/d/1SX6NBoVAgQJ6U1MVXOaj8PK2l7WJ3RER9xtqwdhxkhw/edit?usp=sharing"",""จันทบุรี!J235"")"),1570.92)</f>
        <v>1570.92</v>
      </c>
      <c r="K340" s="342">
        <f t="shared" ca="1" si="103"/>
        <v>57.12436363636364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IFERROR(__xludf.DUMMYFUNCTION("IMPORTRANGE(""https://docs.google.com/spreadsheets/d/1SX6NBoVAgQJ6U1MVXOaj8PK2l7WJ3RER9xtqwdhxkhw/edit?usp=sharing"",""จันทบุรี!J236"")"),96)</f>
        <v>96</v>
      </c>
      <c r="K341" s="342">
        <f t="shared" ca="1" si="103"/>
        <v>60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IFERROR(__xludf.DUMMYFUNCTION("IMPORTRANGE(""https://docs.google.com/spreadsheets/d/1SX6NBoVAgQJ6U1MVXOaj8PK2l7WJ3RER9xtqwdhxkhw/edit?usp=sharing"",""จันทบุรี!J237"")"),1435.61)</f>
        <v>1435.61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IFERROR(__xludf.DUMMYFUNCTION("IMPORTRANGE(""https://docs.google.com/spreadsheets/d/1SX6NBoVAgQJ6U1MVXOaj8PK2l7WJ3RER9xtqwdhxkhw/edit?usp=sharing"",""จันทบุรี!J240"")"),66)</f>
        <v>66</v>
      </c>
      <c r="K345" s="342">
        <f t="shared" ca="1" si="103"/>
        <v>41.25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IFERROR(__xludf.DUMMYFUNCTION("IMPORTRANGE(""https://docs.google.com/spreadsheets/d/1SX6NBoVAgQJ6U1MVXOaj8PK2l7WJ3RER9xtqwdhxkhw/edit?usp=sharing"",""จันทบุรี!J241"")"),869.51)</f>
        <v>869.51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IFERROR(__xludf.DUMMYFUNCTION("IMPORTRANGE(""https://docs.google.com/spreadsheets/d/1SX6NBoVAgQJ6U1MVXOaj8PK2l7WJ3RER9xtqwdhxkhw/edit?usp=sharing"",""จันทบุรี!L242"")"),1032223)</f>
        <v>1032223</v>
      </c>
      <c r="M347" s="358"/>
      <c r="N347" s="358">
        <f ca="1">IFERROR(__xludf.DUMMYFUNCTION("IMPORTRANGE(""https://docs.google.com/spreadsheets/d/1SX6NBoVAgQJ6U1MVXOaj8PK2l7WJ3RER9xtqwdhxkhw/edit?usp=sharing"",""จันทบุรี!M242"")"),284979)</f>
        <v>284979</v>
      </c>
      <c r="O347" s="358">
        <f ca="1">+IF(L347&gt;0,N347*100/L347,0)</f>
        <v>27.608278443708386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IFERROR(__xludf.DUMMYFUNCTION("IMPORTRANGE(""https://docs.google.com/spreadsheets/d/1SX6NBoVAgQJ6U1MVXOaj8PK2l7WJ3RER9xtqwdhxkhw/edit?usp=sharing"",""จันทบุรี!M275"")"),75480)</f>
        <v>75480</v>
      </c>
      <c r="O380" s="373">
        <f ca="1">+IF(L380&gt;0,N380*100/L380,0)</f>
        <v>16.403703220758899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IFERROR(__xludf.DUMMYFUNCTION("IMPORTRANGE(""https://docs.google.com/spreadsheets/d/1SX6NBoVAgQJ6U1MVXOaj8PK2l7WJ3RER9xtqwdhxkhw/edit?usp=sharing"",""จันทบุรี!M278"")"),75480)</f>
        <v>75480</v>
      </c>
      <c r="O383" s="165">
        <f t="shared" ca="1" si="109"/>
        <v>16.403703220758899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IFERROR(__xludf.DUMMYFUNCTION("IMPORTRANGE(""https://docs.google.com/spreadsheets/d/1SX6NBoVAgQJ6U1MVXOaj8PK2l7WJ3RER9xtqwdhxkhw/edit?usp=sharing"",""จันทบุรี!M280"")"),75480)</f>
        <v>75480</v>
      </c>
      <c r="O385" s="169">
        <f t="shared" ca="1" si="109"/>
        <v>16.403703220758899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IFERROR(__xludf.DUMMYFUNCTION("IMPORTRANGE(""https://docs.google.com/spreadsheets/d/1SX6NBoVAgQJ6U1MVXOaj8PK2l7WJ3RER9xtqwdhxkhw/edit?usp=sharing"",""จันทบุรี!M281"")"),60830)</f>
        <v>60830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IFERROR(__xludf.DUMMYFUNCTION("IMPORTRANGE(""https://docs.google.com/spreadsheets/d/1SX6NBoVAgQJ6U1MVXOaj8PK2l7WJ3RER9xtqwdhxkhw/edit?usp=sharing"",""จันทบุรี!M284"")"),14650)</f>
        <v>14650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IFERROR(__xludf.DUMMYFUNCTION("IMPORTRANGE(""https://docs.google.com/spreadsheets/d/1SX6NBoVAgQJ6U1MVXOaj8PK2l7WJ3RER9xtqwdhxkhw/edit?usp=sharing"",""จันทบุรี!M296"")"),36505)</f>
        <v>36505</v>
      </c>
      <c r="O401" s="373">
        <f ca="1">+IF(L401&gt;0,N401*100/L401,0)</f>
        <v>25.252490315439957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IFERROR(__xludf.DUMMYFUNCTION("IMPORTRANGE(""https://docs.google.com/spreadsheets/d/1SX6NBoVAgQJ6U1MVXOaj8PK2l7WJ3RER9xtqwdhxkhw/edit?usp=sharing"",""จันทบุรี!M299"")"),36505)</f>
        <v>36505</v>
      </c>
      <c r="O404" s="169">
        <f t="shared" ca="1" si="112"/>
        <v>25.252490315439957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IFERROR(__xludf.DUMMYFUNCTION("IMPORTRANGE(""https://docs.google.com/spreadsheets/d/1SX6NBoVAgQJ6U1MVXOaj8PK2l7WJ3RER9xtqwdhxkhw/edit?usp=sharing"",""จันทบุรี!M301"")"),36505)</f>
        <v>36505</v>
      </c>
      <c r="O406" s="169">
        <f t="shared" ca="1" si="112"/>
        <v>25.252490315439957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IFERROR(__xludf.DUMMYFUNCTION("IMPORTRANGE(""https://docs.google.com/spreadsheets/d/1SX6NBoVAgQJ6U1MVXOaj8PK2l7WJ3RER9xtqwdhxkhw/edit?usp=sharing"",""จันทบุรี!M302"")"),30055)</f>
        <v>30055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IFERROR(__xludf.DUMMYFUNCTION("IMPORTRANGE(""https://docs.google.com/spreadsheets/d/1SX6NBoVAgQJ6U1MVXOaj8PK2l7WJ3RER9xtqwdhxkhw/edit?usp=sharing"",""จันทบุรี!M305"")"),6450)</f>
        <v>6450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IFERROR(__xludf.DUMMYFUNCTION("IMPORTRANGE(""https://docs.google.com/spreadsheets/d/1SX6NBoVAgQJ6U1MVXOaj8PK2l7WJ3RER9xtqwdhxkhw/edit?usp=sharing"",""จันทบุรี!M330"")"),65275)</f>
        <v>65275</v>
      </c>
      <c r="O435" s="412">
        <f t="shared" ref="O435:O439" ca="1" si="114">+IF(L435&gt;0,N435*100/L435,0)</f>
        <v>65.275000000000006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IFERROR(__xludf.DUMMYFUNCTION("IMPORTRANGE(""https://docs.google.com/spreadsheets/d/1SX6NBoVAgQJ6U1MVXOaj8PK2l7WJ3RER9xtqwdhxkhw/edit?usp=sharing"",""จันทบุรี!M332"")"),65275)</f>
        <v>65275</v>
      </c>
      <c r="O437" s="169">
        <f t="shared" ca="1" si="114"/>
        <v>65.275000000000006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IFERROR(__xludf.DUMMYFUNCTION("IMPORTRANGE(""https://docs.google.com/spreadsheets/d/1SX6NBoVAgQJ6U1MVXOaj8PK2l7WJ3RER9xtqwdhxkhw/edit?usp=sharing"",""จันทบุรี!M334"")"),65275)</f>
        <v>65275</v>
      </c>
      <c r="O439" s="169">
        <f t="shared" ca="1" si="114"/>
        <v>65.275000000000006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IFERROR(__xludf.DUMMYFUNCTION("IMPORTRANGE(""https://docs.google.com/spreadsheets/d/1SX6NBoVAgQJ6U1MVXOaj8PK2l7WJ3RER9xtqwdhxkhw/edit?usp=sharing"",""จันทบุรี!M335"")"),51235)</f>
        <v>51235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IFERROR(__xludf.DUMMYFUNCTION("IMPORTRANGE(""https://docs.google.com/spreadsheets/d/1SX6NBoVAgQJ6U1MVXOaj8PK2l7WJ3RER9xtqwdhxkhw/edit?usp=sharing"",""จันทบุรี!M338"")"),14040)</f>
        <v>14040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IFERROR(__xludf.DUMMYFUNCTION("IMPORTRANGE(""https://docs.google.com/spreadsheets/d/1SX6NBoVAgQJ6U1MVXOaj8PK2l7WJ3RER9xtqwdhxkhw/edit?usp=sharing"",""จันทบุรี!J349"")"),0)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IFERROR(__xludf.DUMMYFUNCTION("IMPORTRANGE(""https://docs.google.com/spreadsheets/d/1SX6NBoVAgQJ6U1MVXOaj8PK2l7WJ3RER9xtqwdhxkhw/edit?usp=sharing"",""จันทบุรี!L350"")"),162553)</f>
        <v>162553</v>
      </c>
      <c r="M455" s="373"/>
      <c r="N455" s="373">
        <f ca="1">IFERROR(__xludf.DUMMYFUNCTION("IMPORTRANGE(""https://docs.google.com/spreadsheets/d/1SX6NBoVAgQJ6U1MVXOaj8PK2l7WJ3RER9xtqwdhxkhw/edit?usp=sharing"",""จันทบุรี!M350"")"),36320)</f>
        <v>36320</v>
      </c>
      <c r="O455" s="373">
        <f t="shared" ref="O455:O459" ca="1" si="116">+IF(L455&gt;0,N455*100/L455,0)</f>
        <v>22.343481818237745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IFERROR(__xludf.DUMMYFUNCTION("IMPORTRANGE(""https://docs.google.com/spreadsheets/d/1SX6NBoVAgQJ6U1MVXOaj8PK2l7WJ3RER9xtqwdhxkhw/edit?usp=sharing"",""จันทบุรี!L352"")"),162553)</f>
        <v>162553</v>
      </c>
      <c r="M457" s="165"/>
      <c r="N457" s="169">
        <f ca="1">IFERROR(__xludf.DUMMYFUNCTION("IMPORTRANGE(""https://docs.google.com/spreadsheets/d/1SX6NBoVAgQJ6U1MVXOaj8PK2l7WJ3RER9xtqwdhxkhw/edit?usp=sharing"",""จันทบุรี!M352"")"),36320)</f>
        <v>36320</v>
      </c>
      <c r="O457" s="169">
        <f t="shared" ca="1" si="116"/>
        <v>22.343481818237745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IFERROR(__xludf.DUMMYFUNCTION("IMPORTRANGE(""https://docs.google.com/spreadsheets/d/1SX6NBoVAgQJ6U1MVXOaj8PK2l7WJ3RER9xtqwdhxkhw/edit?usp=sharing"",""จันทบุรี!L354"")"),162553)</f>
        <v>162553</v>
      </c>
      <c r="M459" s="169"/>
      <c r="N459" s="169">
        <f ca="1">IFERROR(__xludf.DUMMYFUNCTION("IMPORTRANGE(""https://docs.google.com/spreadsheets/d/1SX6NBoVAgQJ6U1MVXOaj8PK2l7WJ3RER9xtqwdhxkhw/edit?usp=sharing"",""จันทบุรี!M354"")"),36320)</f>
        <v>36320</v>
      </c>
      <c r="O459" s="169">
        <f t="shared" ca="1" si="116"/>
        <v>22.343481818237745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IFERROR(__xludf.DUMMYFUNCTION("IMPORTRANGE(""https://docs.google.com/spreadsheets/d/1SX6NBoVAgQJ6U1MVXOaj8PK2l7WJ3RER9xtqwdhxkhw/edit?usp=sharing"",""จันทบุรี!M358"")"),36320)</f>
        <v>36320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IFERROR(__xludf.DUMMYFUNCTION("IMPORTRANGE(""https://docs.google.com/spreadsheets/d/1SX6NBoVAgQJ6U1MVXOaj8PK2l7WJ3RER9xtqwdhxkhw/edit?usp=sharing"",""จันทบุรี!I359"")"),18211)</f>
        <v>18211</v>
      </c>
      <c r="J464" s="267">
        <f ca="1">IFERROR(__xludf.DUMMYFUNCTION("IMPORTRANGE(""https://docs.google.com/spreadsheets/d/1SX6NBoVAgQJ6U1MVXOaj8PK2l7WJ3RER9xtqwdhxkhw/edit?usp=sharing"",""จันทบุรี!J359"")"),0)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IFERROR(__xludf.DUMMYFUNCTION("IMPORTRANGE(""https://docs.google.com/spreadsheets/d/1SX6NBoVAgQJ6U1MVXOaj8PK2l7WJ3RER9xtqwdhxkhw/edit?usp=sharing"",""จันทบุรี!J392"")"),290)</f>
        <v>290</v>
      </c>
      <c r="K497" s="444">
        <f t="shared" ca="1" si="117"/>
        <v>37.037037037037038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IFERROR(__xludf.DUMMYFUNCTION("IMPORTRANGE(""https://docs.google.com/spreadsheets/d/1SX6NBoVAgQJ6U1MVXOaj8PK2l7WJ3RER9xtqwdhxkhw/edit?usp=sharing"",""จันทบุรี!J393"")"),290)</f>
        <v>290</v>
      </c>
      <c r="K498" s="202">
        <f t="shared" ca="1" si="117"/>
        <v>37.037037037037038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IFERROR(__xludf.DUMMYFUNCTION("IMPORTRANGE(""https://docs.google.com/spreadsheets/d/1SX6NBoVAgQJ6U1MVXOaj8PK2l7WJ3RER9xtqwdhxkhw/edit?usp=sharing"",""จันทบุรี!J394"")"),34)</f>
        <v>34</v>
      </c>
      <c r="K499" s="202">
        <f t="shared" ca="1" si="117"/>
        <v>46.575342465753423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IFERROR(__xludf.DUMMYFUNCTION("IMPORTRANGE(""https://docs.google.com/spreadsheets/d/1SX6NBoVAgQJ6U1MVXOaj8PK2l7WJ3RER9xtqwdhxkhw/edit?usp=sharing"",""จันทบุรี!J395"")"),290)</f>
        <v>290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IFERROR(__xludf.DUMMYFUNCTION("IMPORTRANGE(""https://docs.google.com/spreadsheets/d/1SX6NBoVAgQJ6U1MVXOaj8PK2l7WJ3RER9xtqwdhxkhw/edit?usp=sharing"",""จันทบุรี!J396"")"),34)</f>
        <v>34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IFERROR(__xludf.DUMMYFUNCTION("IMPORTRANGE(""https://docs.google.com/spreadsheets/d/1SX6NBoVAgQJ6U1MVXOaj8PK2l7WJ3RER9xtqwdhxkhw/edit?usp=sharing"",""จันทบุรี!J397"")"),290)</f>
        <v>290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IFERROR(__xludf.DUMMYFUNCTION("IMPORTRANGE(""https://docs.google.com/spreadsheets/d/1SX6NBoVAgQJ6U1MVXOaj8PK2l7WJ3RER9xtqwdhxkhw/edit?usp=sharing"",""จันทบุรี!J398"")"),34)</f>
        <v>34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IFERROR(__xludf.DUMMYFUNCTION("IMPORTRANGE(""https://docs.google.com/spreadsheets/d/1SX6NBoVAgQJ6U1MVXOaj8PK2l7WJ3RER9xtqwdhxkhw/edit?usp=sharing"",""จันทบุรี!I411"")"),0)</f>
        <v>0</v>
      </c>
      <c r="J516" s="267">
        <f ca="1">IFERROR(__xludf.DUMMYFUNCTION("IMPORTRANGE(""https://docs.google.com/spreadsheets/d/1SX6NBoVAgQJ6U1MVXOaj8PK2l7WJ3RER9xtqwdhxkhw/edit?usp=sharing"",""จันทบุรี!J411"")"),0)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IFERROR(__xludf.DUMMYFUNCTION("IMPORTRANGE(""https://docs.google.com/spreadsheets/d/1SX6NBoVAgQJ6U1MVXOaj8PK2l7WJ3RER9xtqwdhxkhw/edit?usp=sharing"",""จันทบุรี!I412"")"),0)</f>
        <v>0</v>
      </c>
      <c r="J517" s="284">
        <f ca="1">IFERROR(__xludf.DUMMYFUNCTION("IMPORTRANGE(""https://docs.google.com/spreadsheets/d/1SX6NBoVAgQJ6U1MVXOaj8PK2l7WJ3RER9xtqwdhxkhw/edit?usp=sharing"",""จันทบุรี!J412"")"),0)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IFERROR(__xludf.DUMMYFUNCTION("IMPORTRANGE(""https://docs.google.com/spreadsheets/d/1SX6NBoVAgQJ6U1MVXOaj8PK2l7WJ3RER9xtqwdhxkhw/edit?usp=sharing"",""จันทบุรี!I413"")"),0)</f>
        <v>0</v>
      </c>
      <c r="J518" s="284">
        <f ca="1">IFERROR(__xludf.DUMMYFUNCTION("IMPORTRANGE(""https://docs.google.com/spreadsheets/d/1SX6NBoVAgQJ6U1MVXOaj8PK2l7WJ3RER9xtqwdhxkhw/edit?usp=sharing"",""จันทบุรี!J413"")"),0)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IFERROR(__xludf.DUMMYFUNCTION("IMPORTRANGE(""https://docs.google.com/spreadsheets/d/1SX6NBoVAgQJ6U1MVXOaj8PK2l7WJ3RER9xtqwdhxkhw/edit?usp=sharing"",""จันทบุรี!I420"")"),0)</f>
        <v>0</v>
      </c>
      <c r="J525" s="284">
        <f ca="1">IFERROR(__xludf.DUMMYFUNCTION("IMPORTRANGE(""https://docs.google.com/spreadsheets/d/1SX6NBoVAgQJ6U1MVXOaj8PK2l7WJ3RER9xtqwdhxkhw/edit?usp=sharing"",""จันทบุรี!J420"")"),0)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IFERROR(__xludf.DUMMYFUNCTION("IMPORTRANGE(""https://docs.google.com/spreadsheets/d/1SX6NBoVAgQJ6U1MVXOaj8PK2l7WJ3RER9xtqwdhxkhw/edit?usp=sharing"",""จันทบุรี!I421"")"),0)</f>
        <v>0</v>
      </c>
      <c r="J526" s="284">
        <f ca="1">IFERROR(__xludf.DUMMYFUNCTION("IMPORTRANGE(""https://docs.google.com/spreadsheets/d/1SX6NBoVAgQJ6U1MVXOaj8PK2l7WJ3RER9xtqwdhxkhw/edit?usp=sharing"",""จันทบุรี!J421"")"),0)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IFERROR(__xludf.DUMMYFUNCTION("IMPORTRANGE(""https://docs.google.com/spreadsheets/d/1SX6NBoVAgQJ6U1MVXOaj8PK2l7WJ3RER9xtqwdhxkhw/edit?usp=sharing"",""จันทบุรี!M430"")"),22816)</f>
        <v>22816</v>
      </c>
      <c r="O535" s="169">
        <f t="shared" ca="1" si="118"/>
        <v>66.441467676179386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IFERROR(__xludf.DUMMYFUNCTION("IMPORTRANGE(""https://docs.google.com/spreadsheets/d/1SX6NBoVAgQJ6U1MVXOaj8PK2l7WJ3RER9xtqwdhxkhw/edit?usp=sharing"",""จันทบุรี!M432"")"),22816)</f>
        <v>22816</v>
      </c>
      <c r="O537" s="169">
        <f t="shared" ca="1" si="118"/>
        <v>66.441467676179386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IFERROR(__xludf.DUMMYFUNCTION("IMPORTRANGE(""https://docs.google.com/spreadsheets/d/1SX6NBoVAgQJ6U1MVXOaj8PK2l7WJ3RER9xtqwdhxkhw/edit?usp=sharing"",""จันทบุรี!M433"")"),14440)</f>
        <v>14440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IFERROR(__xludf.DUMMYFUNCTION("IMPORTRANGE(""https://docs.google.com/spreadsheets/d/1SX6NBoVAgQJ6U1MVXOaj8PK2l7WJ3RER9xtqwdhxkhw/edit?usp=sharing"",""จันทบุรี!M436"")"),8376)</f>
        <v>8376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IFERROR(__xludf.DUMMYFUNCTION("IMPORTRANGE(""https://docs.google.com/spreadsheets/d/1SX6NBoVAgQJ6U1MVXOaj8PK2l7WJ3RER9xtqwdhxkhw/edit?usp=sharing"",""จันทบุรี!J459"")"),1425)</f>
        <v>1425</v>
      </c>
      <c r="K564" s="372">
        <f ca="1">IF(I564&gt;0,J564*100/I564,0)</f>
        <v>203.57142857142858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IFERROR(__xludf.DUMMYFUNCTION("IMPORTRANGE(""https://docs.google.com/spreadsheets/d/1SX6NBoVAgQJ6U1MVXOaj8PK2l7WJ3RER9xtqwdhxkhw/edit?usp=sharing"",""จันทบุรี!M459"")"),47933)</f>
        <v>47933</v>
      </c>
      <c r="O564" s="373">
        <f t="shared" ref="O564:O568" ca="1" si="122">+IF(L564&gt;0,N564*100/L564,0)</f>
        <v>38.017925126903556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IFERROR(__xludf.DUMMYFUNCTION("IMPORTRANGE(""https://docs.google.com/spreadsheets/d/1SX6NBoVAgQJ6U1MVXOaj8PK2l7WJ3RER9xtqwdhxkhw/edit?usp=sharing"",""จันทบุรี!M461"")"),47933)</f>
        <v>47933</v>
      </c>
      <c r="O566" s="169">
        <f t="shared" ca="1" si="122"/>
        <v>38.017925126903556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IFERROR(__xludf.DUMMYFUNCTION("IMPORTRANGE(""https://docs.google.com/spreadsheets/d/1SX6NBoVAgQJ6U1MVXOaj8PK2l7WJ3RER9xtqwdhxkhw/edit?usp=sharing"",""จันทบุรี!M463"")"),47933)</f>
        <v>47933</v>
      </c>
      <c r="O568" s="169">
        <f t="shared" ca="1" si="122"/>
        <v>38.017925126903556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IFERROR(__xludf.DUMMYFUNCTION("IMPORTRANGE(""https://docs.google.com/spreadsheets/d/1SX6NBoVAgQJ6U1MVXOaj8PK2l7WJ3RER9xtqwdhxkhw/edit?usp=sharing"",""จันทบุรี!M466"")"),32633)</f>
        <v>32633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IFERROR(__xludf.DUMMYFUNCTION("IMPORTRANGE(""https://docs.google.com/spreadsheets/d/1SX6NBoVAgQJ6U1MVXOaj8PK2l7WJ3RER9xtqwdhxkhw/edit?usp=sharing"",""จันทบุรี!M467"")"),15300)</f>
        <v>15300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IFERROR(__xludf.DUMMYFUNCTION("IMPORTRANGE(""https://docs.google.com/spreadsheets/d/1SX6NBoVAgQJ6U1MVXOaj8PK2l7WJ3RER9xtqwdhxkhw/edit?usp=sharing"",""จันทบุรี!J468"")"),1425)</f>
        <v>1425</v>
      </c>
      <c r="K573" s="202">
        <f ca="1">IF(I573&gt;0,J573*100/I573,0)</f>
        <v>203.57142857142858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IFERROR(__xludf.DUMMYFUNCTION("IMPORTRANGE(""https://docs.google.com/spreadsheets/d/1SX6NBoVAgQJ6U1MVXOaj8PK2l7WJ3RER9xtqwdhxkhw/edit?usp=sharing"",""จันทบุรี!J471"")"),123)</f>
        <v>123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IFERROR(__xludf.DUMMYFUNCTION("IMPORTRANGE(""https://docs.google.com/spreadsheets/d/1SX6NBoVAgQJ6U1MVXOaj8PK2l7WJ3RER9xtqwdhxkhw/edit?usp=sharing"",""จันทบุรี!J472"")"),1291)</f>
        <v>1291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IFERROR(__xludf.DUMMYFUNCTION("IMPORTRANGE(""https://docs.google.com/spreadsheets/d/1SX6NBoVAgQJ6U1MVXOaj8PK2l7WJ3RER9xtqwdhxkhw/edit?usp=sharing"",""จันทบุรี!I491"")"),0)</f>
        <v>0</v>
      </c>
      <c r="J596" s="241">
        <f ca="1">IFERROR(__xludf.DUMMYFUNCTION("IMPORTRANGE(""https://docs.google.com/spreadsheets/d/1SX6NBoVAgQJ6U1MVXOaj8PK2l7WJ3RER9xtqwdhxkhw/edit?usp=sharing"",""จันทบุรี!J491"")"),0)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7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14.285714285714286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14.285714285714286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IFERROR(__xludf.DUMMYFUNCTION("IMPORTRANGE(""https://docs.google.com/spreadsheets/d/1SX6NBoVAgQJ6U1MVXOaj8PK2l7WJ3RER9xtqwdhxkhw/edit?usp=sharing"",""จันทบุรี!I523"")"),7886000)</f>
        <v>7886000</v>
      </c>
      <c r="J628" s="341">
        <f ca="1">IFERROR(__xludf.DUMMYFUNCTION("IMPORTRANGE(""https://docs.google.com/spreadsheets/d/1SX6NBoVAgQJ6U1MVXOaj8PK2l7WJ3RER9xtqwdhxkhw/edit?usp=sharing"",""จันทบุรี!J523"")"),4780000)</f>
        <v>4780000</v>
      </c>
      <c r="K628" s="342">
        <f t="shared" ref="K628:K635" ca="1" si="129">IF(I628&gt;0,J628*100/I628,0)</f>
        <v>60.613745878772505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IFERROR(__xludf.DUMMYFUNCTION("IMPORTRANGE(""https://docs.google.com/spreadsheets/d/1SX6NBoVAgQJ6U1MVXOaj8PK2l7WJ3RER9xtqwdhxkhw/edit?usp=sharing"",""จันทบุรี!I524"")"),395)</f>
        <v>395</v>
      </c>
      <c r="J629" s="341">
        <f ca="1">IFERROR(__xludf.DUMMYFUNCTION("IMPORTRANGE(""https://docs.google.com/spreadsheets/d/1SX6NBoVAgQJ6U1MVXOaj8PK2l7WJ3RER9xtqwdhxkhw/edit?usp=sharing"",""จันทบุรี!J524"")"),239)</f>
        <v>239</v>
      </c>
      <c r="K629" s="342">
        <f t="shared" ca="1" si="129"/>
        <v>60.506329113924053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1">
        <f ca="1">IFERROR(__xludf.DUMMYFUNCTION("IMPORTRANGE(""https://docs.google.com/spreadsheets/d/1SX6NBoVAgQJ6U1MVXOaj8PK2l7WJ3RER9xtqwdhxkhw/edit?usp=sharing"",""จันทบุรี!J525"")"),583123.45)</f>
        <v>583123.44999999995</v>
      </c>
      <c r="K630" s="342">
        <f t="shared" ca="1" si="129"/>
        <v>3.5806373526253332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IFERROR(__xludf.DUMMYFUNCTION("IMPORTRANGE(""https://docs.google.com/spreadsheets/d/1SX6NBoVAgQJ6U1MVXOaj8PK2l7WJ3RER9xtqwdhxkhw/edit?usp=sharing"",""จันทบุรี!I526"")"),368)</f>
        <v>368</v>
      </c>
      <c r="J631" s="341">
        <f ca="1">IFERROR(__xludf.DUMMYFUNCTION("IMPORTRANGE(""https://docs.google.com/spreadsheets/d/1SX6NBoVAgQJ6U1MVXOaj8PK2l7WJ3RER9xtqwdhxkhw/edit?usp=sharing"",""จันทบุรี!J526"")"),76)</f>
        <v>76</v>
      </c>
      <c r="K631" s="342">
        <f t="shared" ca="1" si="129"/>
        <v>20.652173913043477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1">
        <f ca="1">IFERROR(__xludf.DUMMYFUNCTION("IMPORTRANGE(""https://docs.google.com/spreadsheets/d/1SX6NBoVAgQJ6U1MVXOaj8PK2l7WJ3RER9xtqwdhxkhw/edit?usp=sharing"",""จันทบุรี!J527"")"),278408.97)</f>
        <v>278408.96999999997</v>
      </c>
      <c r="K632" s="342">
        <f t="shared" ca="1" si="129"/>
        <v>16.04536498660644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IFERROR(__xludf.DUMMYFUNCTION("IMPORTRANGE(""https://docs.google.com/spreadsheets/d/1SX6NBoVAgQJ6U1MVXOaj8PK2l7WJ3RER9xtqwdhxkhw/edit?usp=sharing"",""จันทบุรี!I528"")"),121)</f>
        <v>121</v>
      </c>
      <c r="J633" s="341">
        <f ca="1">IFERROR(__xludf.DUMMYFUNCTION("IMPORTRANGE(""https://docs.google.com/spreadsheets/d/1SX6NBoVAgQJ6U1MVXOaj8PK2l7WJ3RER9xtqwdhxkhw/edit?usp=sharing"",""จันทบุรี!J528"")"),17)</f>
        <v>17</v>
      </c>
      <c r="K633" s="342">
        <f t="shared" ca="1" si="129"/>
        <v>14.049586776859504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IFERROR(__xludf.DUMMYFUNCTION("IMPORTRANGE(""https://docs.google.com/spreadsheets/d/1SX6NBoVAgQJ6U1MVXOaj8PK2l7WJ3RER9xtqwdhxkhw/edit?usp=sharing"",""จันทบุรี!I529"")"),4000000)</f>
        <v>4000000</v>
      </c>
      <c r="J634" s="341">
        <f ca="1">IFERROR(__xludf.DUMMYFUNCTION("IMPORTRANGE(""https://docs.google.com/spreadsheets/d/1SX6NBoVAgQJ6U1MVXOaj8PK2l7WJ3RER9xtqwdhxkhw/edit?usp=sharing"",""จันทบุรี!J529"")"),3180000)</f>
        <v>3180000</v>
      </c>
      <c r="K634" s="342">
        <f t="shared" ca="1" si="129"/>
        <v>79.5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IFERROR(__xludf.DUMMYFUNCTION("IMPORTRANGE(""https://docs.google.com/spreadsheets/d/1SX6NBoVAgQJ6U1MVXOaj8PK2l7WJ3RER9xtqwdhxkhw/edit?usp=sharing"",""จันทบุรี!I530"")"),200)</f>
        <v>200</v>
      </c>
      <c r="J635" s="504">
        <f ca="1">IFERROR(__xludf.DUMMYFUNCTION("IMPORTRANGE(""https://docs.google.com/spreadsheets/d/1SX6NBoVAgQJ6U1MVXOaj8PK2l7WJ3RER9xtqwdhxkhw/edit?usp=sharing"",""จันทบุรี!J530"")"),159)</f>
        <v>159</v>
      </c>
      <c r="K635" s="486">
        <f t="shared" ca="1" si="129"/>
        <v>79.5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9670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9670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9670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IFERROR(__xludf.DUMMYFUNCTION("IMPORTRANGE(""https://docs.google.com/spreadsheets/d/1SX6NBoVAgQJ6U1MVXOaj8PK2l7WJ3RER9xtqwdhxkhw/edit#gid=346597447"",""จันทบุรี!J541"")"),0)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IFERROR(__xludf.DUMMYFUNCTION("IMPORTRANGE(""https://docs.google.com/spreadsheets/d/1SX6NBoVAgQJ6U1MVXOaj8PK2l7WJ3RER9xtqwdhxkhw/edit#gid=346597447"",""จันทบุรี!J542"")"),0)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IFERROR(__xludf.DUMMYFUNCTION("IMPORTRANGE(""https://docs.google.com/spreadsheets/d/1SX6NBoVAgQJ6U1MVXOaj8PK2l7WJ3RER9xtqwdhxkhw/edit#gid=346597447"",""จันทบุรี!I543"")"),0)</f>
        <v>0</v>
      </c>
      <c r="J648" s="536">
        <f ca="1">IFERROR(__xludf.DUMMYFUNCTION("IMPORTRANGE(""https://docs.google.com/spreadsheets/d/1SX6NBoVAgQJ6U1MVXOaj8PK2l7WJ3RER9xtqwdhxkhw/edit#gid=346597447"",""จันทบุรี!J543"")"),0)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IFERROR(__xludf.DUMMYFUNCTION("IMPORTRANGE(""https://docs.google.com/spreadsheets/d/1SX6NBoVAgQJ6U1MVXOaj8PK2l7WJ3RER9xtqwdhxkhw/edit#gid=346597447"",""จันทบุรี!L543"")"),0)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IFERROR(__xludf.DUMMYFUNCTION("IMPORTRANGE(""https://docs.google.com/spreadsheets/d/1SX6NBoVAgQJ6U1MVXOaj8PK2l7WJ3RER9xtqwdhxkhw/edit#gid=346597447"",""จันทบุรี!M543"")"),0)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IFERROR(__xludf.DUMMYFUNCTION("IMPORTRANGE(""https://docs.google.com/spreadsheets/d/1SX6NBoVAgQJ6U1MVXOaj8PK2l7WJ3RER9xtqwdhxkhw/edit#gid=346597447"",""จันทบุรี!I544"")"),0)</f>
        <v>0</v>
      </c>
      <c r="J649" s="536">
        <f ca="1">IFERROR(__xludf.DUMMYFUNCTION("IMPORTRANGE(""https://docs.google.com/spreadsheets/d/1SX6NBoVAgQJ6U1MVXOaj8PK2l7WJ3RER9xtqwdhxkhw/edit#gid=346597447"",""จันทบุรี!J544"")"),0)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IFERROR(__xludf.DUMMYFUNCTION("IMPORTRANGE(""https://docs.google.com/spreadsheets/d/1SX6NBoVAgQJ6U1MVXOaj8PK2l7WJ3RER9xtqwdhxkhw/edit#gid=346597447"",""จันทบุรี!L544"")"),0)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IFERROR(__xludf.DUMMYFUNCTION("IMPORTRANGE(""https://docs.google.com/spreadsheets/d/1SX6NBoVAgQJ6U1MVXOaj8PK2l7WJ3RER9xtqwdhxkhw/edit#gid=346597447"",""จันทบุรี!M544"")"),0)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IFERROR(__xludf.DUMMYFUNCTION("IMPORTRANGE(""https://docs.google.com/spreadsheets/d/1SX6NBoVAgQJ6U1MVXOaj8PK2l7WJ3RER9xtqwdhxkhw/edit#gid=346597447"",""จันทบุรี!I545"")"),11)</f>
        <v>11</v>
      </c>
      <c r="J650" s="536">
        <f ca="1">IFERROR(__xludf.DUMMYFUNCTION("IMPORTRANGE(""https://docs.google.com/spreadsheets/d/1SX6NBoVAgQJ6U1MVXOaj8PK2l7WJ3RER9xtqwdhxkhw/edit#gid=346597447"",""จันทบุรี!J545"")"),0)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IFERROR(__xludf.DUMMYFUNCTION("IMPORTRANGE(""https://docs.google.com/spreadsheets/d/1SX6NBoVAgQJ6U1MVXOaj8PK2l7WJ3RER9xtqwdhxkhw/edit#gid=346597447"",""จันทบุรี!L545"")"),55)</f>
        <v>55</v>
      </c>
      <c r="M650" s="521"/>
      <c r="N650" s="538">
        <f ca="1">IFERROR(__xludf.DUMMYFUNCTION("IMPORTRANGE(""https://docs.google.com/spreadsheets/d/1SX6NBoVAgQJ6U1MVXOaj8PK2l7WJ3RER9xtqwdhxkhw/edit#gid=346597447"",""จันทบุรี!M545"")"),0)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IFERROR(__xludf.DUMMYFUNCTION("IMPORTRANGE(""https://docs.google.com/spreadsheets/d/1SX6NBoVAgQJ6U1MVXOaj8PK2l7WJ3RER9xtqwdhxkhw/edit#gid=346597447"",""จันทบุรี!I546"")"),175)</f>
        <v>175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IFERROR(__xludf.DUMMYFUNCTION("IMPORTRANGE(""https://docs.google.com/spreadsheets/d/1SX6NBoVAgQJ6U1MVXOaj8PK2l7WJ3RER9xtqwdhxkhw/edit#gid=346597447"",""จันทบุรี!L546"")"),4375)</f>
        <v>4375</v>
      </c>
      <c r="M651" s="521"/>
      <c r="N651" s="538">
        <f ca="1">IFERROR(__xludf.DUMMYFUNCTION("IMPORTRANGE(""https://docs.google.com/spreadsheets/d/1SX6NBoVAgQJ6U1MVXOaj8PK2l7WJ3RER9xtqwdhxkhw/edit#gid=346597447"",""จันทบุรี!M546"")"),0)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IFERROR(__xludf.DUMMYFUNCTION("IMPORTRANGE(""https://docs.google.com/spreadsheets/d/1SX6NBoVAgQJ6U1MVXOaj8PK2l7WJ3RER9xtqwdhxkhw/edit#gid=346597447"",""จันทบุรี!J547"")"),0)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IFERROR(__xludf.DUMMYFUNCTION("IMPORTRANGE(""https://docs.google.com/spreadsheets/d/1SX6NBoVAgQJ6U1MVXOaj8PK2l7WJ3RER9xtqwdhxkhw/edit#gid=346597447"",""จันทบุรี!J548"")"),0)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IFERROR(__xludf.DUMMYFUNCTION("IMPORTRANGE(""https://docs.google.com/spreadsheets/d/1SX6NBoVAgQJ6U1MVXOaj8PK2l7WJ3RER9xtqwdhxkhw/edit#gid=346597447"",""จันทบุรี!J550"")"),0)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IFERROR(__xludf.DUMMYFUNCTION("IMPORTRANGE(""https://docs.google.com/spreadsheets/d/1SX6NBoVAgQJ6U1MVXOaj8PK2l7WJ3RER9xtqwdhxkhw/edit#gid=346597447"",""จันทบุรี!J551"")"),0)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IFERROR(__xludf.DUMMYFUNCTION("IMPORTRANGE(""https://docs.google.com/spreadsheets/d/1SX6NBoVAgQJ6U1MVXOaj8PK2l7WJ3RER9xtqwdhxkhw/edit#gid=346597447"",""จันทบุรี!J552"")"),0)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IFERROR(__xludf.DUMMYFUNCTION("IMPORTRANGE(""https://docs.google.com/spreadsheets/d/1SX6NBoVAgQJ6U1MVXOaj8PK2l7WJ3RER9xtqwdhxkhw/edit#gid=346597447"",""จันทบุรี!J553"")"),0)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IFERROR(__xludf.DUMMYFUNCTION("IMPORTRANGE(""https://docs.google.com/spreadsheets/d/1SX6NBoVAgQJ6U1MVXOaj8PK2l7WJ3RER9xtqwdhxkhw/edit#gid=346597447"",""จันทบุรี!J554"")"),0)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IFERROR(__xludf.DUMMYFUNCTION("IMPORTRANGE(""https://docs.google.com/spreadsheets/d/1SX6NBoVAgQJ6U1MVXOaj8PK2l7WJ3RER9xtqwdhxkhw/edit#gid=346597447"",""จันทบุรี!J555"")"),0)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IFERROR(__xludf.DUMMYFUNCTION("IMPORTRANGE(""https://docs.google.com/spreadsheets/d/1SX6NBoVAgQJ6U1MVXOaj8PK2l7WJ3RER9xtqwdhxkhw/edit#gid=346597447"",""จันทบุรี!J556"")"),0)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IFERROR(__xludf.DUMMYFUNCTION("IMPORTRANGE(""https://docs.google.com/spreadsheets/d/1SX6NBoVAgQJ6U1MVXOaj8PK2l7WJ3RER9xtqwdhxkhw/edit#gid=346597447"",""จันทบุรี!L556"")"),1160)</f>
        <v>1160</v>
      </c>
      <c r="M661" s="521"/>
      <c r="N661" s="538">
        <f ca="1">IFERROR(__xludf.DUMMYFUNCTION("IMPORTRANGE(""https://docs.google.com/spreadsheets/d/1SX6NBoVAgQJ6U1MVXOaj8PK2l7WJ3RER9xtqwdhxkhw/edit#gid=346597447"",""จันทบุรี!M556"")"),0)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IFERROR(__xludf.DUMMYFUNCTION("IMPORTRANGE(""https://docs.google.com/spreadsheets/d/1SX6NBoVAgQJ6U1MVXOaj8PK2l7WJ3RER9xtqwdhxkhw/edit#gid=346597447"",""จันทบุรี!J557"")"),0)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IFERROR(__xludf.DUMMYFUNCTION("IMPORTRANGE(""https://docs.google.com/spreadsheets/d/1SX6NBoVAgQJ6U1MVXOaj8PK2l7WJ3RER9xtqwdhxkhw/edit#gid=346597447"",""จันทบุรี!I558"")"),29)</f>
        <v>29</v>
      </c>
      <c r="J663" s="536">
        <f ca="1">IFERROR(__xludf.DUMMYFUNCTION("IMPORTRANGE(""https://docs.google.com/spreadsheets/d/1SX6NBoVAgQJ6U1MVXOaj8PK2l7WJ3RER9xtqwdhxkhw/edit#gid=346597447"",""จันทบุรี!J558"")"),0)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IFERROR(__xludf.DUMMYFUNCTION("IMPORTRANGE(""https://docs.google.com/spreadsheets/d/1SX6NBoVAgQJ6U1MVXOaj8PK2l7WJ3RER9xtqwdhxkhw/edit#gid=346597447"",""จันทบุรี!I560"")"),2)</f>
        <v>2</v>
      </c>
      <c r="J665" s="536">
        <f ca="1">IFERROR(__xludf.DUMMYFUNCTION("IMPORTRANGE(""https://docs.google.com/spreadsheets/d/1SX6NBoVAgQJ6U1MVXOaj8PK2l7WJ3RER9xtqwdhxkhw/edit#gid=346597447"",""จันทบุรี!J560"")"),0)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IFERROR(__xludf.DUMMYFUNCTION("IMPORTRANGE(""https://docs.google.com/spreadsheets/d/1SX6NBoVAgQJ6U1MVXOaj8PK2l7WJ3RER9xtqwdhxkhw/edit#gid=346597447"",""จันทบุรี!L560"")"),240)</f>
        <v>240</v>
      </c>
      <c r="M665" s="521"/>
      <c r="N665" s="538">
        <f ca="1">IFERROR(__xludf.DUMMYFUNCTION("IMPORTRANGE(""https://docs.google.com/spreadsheets/d/1SX6NBoVAgQJ6U1MVXOaj8PK2l7WJ3RER9xtqwdhxkhw/edit#gid=346597447"",""จันทบุรี!M560"")"),0)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IFERROR(__xludf.DUMMYFUNCTION("IMPORTRANGE(""https://docs.google.com/spreadsheets/d/1SX6NBoVAgQJ6U1MVXOaj8PK2l7WJ3RER9xtqwdhxkhw/edit#gid=346597447"",""จันทบุรี!J561"")"),0)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IFERROR(__xludf.DUMMYFUNCTION("IMPORTRANGE(""https://docs.google.com/spreadsheets/d/1SX6NBoVAgQJ6U1MVXOaj8PK2l7WJ3RER9xtqwdhxkhw/edit#gid=346597447"",""จันทบุรี!J562"")"),0)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IFERROR(__xludf.DUMMYFUNCTION("IMPORTRANGE(""https://docs.google.com/spreadsheets/d/1SX6NBoVAgQJ6U1MVXOaj8PK2l7WJ3RER9xtqwdhxkhw/edit#gid=346597447"",""จันทบุรี!I563"")"),0)</f>
        <v>0</v>
      </c>
      <c r="J668" s="536">
        <f ca="1">IFERROR(__xludf.DUMMYFUNCTION("IMPORTRANGE(""https://docs.google.com/spreadsheets/d/1SX6NBoVAgQJ6U1MVXOaj8PK2l7WJ3RER9xtqwdhxkhw/edit#gid=346597447"",""จันทบุรี!J563"")"),0)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IFERROR(__xludf.DUMMYFUNCTION("IMPORTRANGE(""https://docs.google.com/spreadsheets/d/1SX6NBoVAgQJ6U1MVXOaj8PK2l7WJ3RER9xtqwdhxkhw/edit#gid=346597447"",""จันทบุรี!L563"")"),0)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IFERROR(__xludf.DUMMYFUNCTION("IMPORTRANGE(""https://docs.google.com/spreadsheets/d/1SX6NBoVAgQJ6U1MVXOaj8PK2l7WJ3RER9xtqwdhxkhw/edit#gid=346597447"",""จันทบุรี!M563"")"),0)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IFERROR(__xludf.DUMMYFUNCTION("IMPORTRANGE(""https://docs.google.com/spreadsheets/d/1SX6NBoVAgQJ6U1MVXOaj8PK2l7WJ3RER9xtqwdhxkhw/edit#gid=346597447"",""จันทบุรี!J564"")"),0)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IFERROR(__xludf.DUMMYFUNCTION("IMPORTRANGE(""https://docs.google.com/spreadsheets/d/1SX6NBoVAgQJ6U1MVXOaj8PK2l7WJ3RER9xtqwdhxkhw/edit#gid=346597447"",""จันทบุรี!J565"")"),0)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IFERROR(__xludf.DUMMYFUNCTION("IMPORTRANGE(""https://docs.google.com/spreadsheets/d/1SX6NBoVAgQJ6U1MVXOaj8PK2l7WJ3RER9xtqwdhxkhw/edit#gid=346597447"",""จันทบุรี!I566"")"),48)</f>
        <v>48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IFERROR(__xludf.DUMMYFUNCTION("IMPORTRANGE(""https://docs.google.com/spreadsheets/d/1SX6NBoVAgQJ6U1MVXOaj8PK2l7WJ3RER9xtqwdhxkhw/edit#gid=346597447"",""จันทบุรี!L566"")"),3840)</f>
        <v>3840</v>
      </c>
      <c r="M671" s="521"/>
      <c r="N671" s="538">
        <f ca="1">IFERROR(__xludf.DUMMYFUNCTION("IMPORTRANGE(""https://docs.google.com/spreadsheets/d/1SX6NBoVAgQJ6U1MVXOaj8PK2l7WJ3RER9xtqwdhxkhw/edit#gid=346597447"",""จันทบุรี!M566"")"),0)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IFERROR(__xludf.DUMMYFUNCTION("IMPORTRANGE(""https://docs.google.com/spreadsheets/d/1SX6NBoVAgQJ6U1MVXOaj8PK2l7WJ3RER9xtqwdhxkhw/edit#gid=346597447"",""จันทบุรี!J567"")"),0)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IFERROR(__xludf.DUMMYFUNCTION("IMPORTRANGE(""https://docs.google.com/spreadsheets/d/1SX6NBoVAgQJ6U1MVXOaj8PK2l7WJ3RER9xtqwdhxkhw/edit#gid=346597447"",""จันทบุรี!J568"")"),0)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IFERROR(__xludf.DUMMYFUNCTION("IMPORTRANGE(""https://docs.google.com/spreadsheets/d/1SX6NBoVAgQJ6U1MVXOaj8PK2l7WJ3RER9xtqwdhxkhw/edit#gid=346597447"",""จันทบุรี!J569"")"),0)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IFERROR(__xludf.DUMMYFUNCTION("IMPORTRANGE(""https://docs.google.com/spreadsheets/d/1SX6NBoVAgQJ6U1MVXOaj8PK2l7WJ3RER9xtqwdhxkhw/edit#gid=346597447"",""จันทบุรี!J570"")"),0)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IFERROR(__xludf.DUMMYFUNCTION("IMPORTRANGE(""https://docs.google.com/spreadsheets/d/1SX6NBoVAgQJ6U1MVXOaj8PK2l7WJ3RER9xtqwdhxkhw/edit#gid=346597447"",""จันทบุรี!J571"")"),0)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IFERROR(__xludf.DUMMYFUNCTION("IMPORTRANGE(""https://docs.google.com/spreadsheets/d/1SX6NBoVAgQJ6U1MVXOaj8PK2l7WJ3RER9xtqwdhxkhw/edit#gid=346597447"",""จันทบุรี!J572"")"),0)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I4" sqref="I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7687554</v>
      </c>
      <c r="M8" s="23">
        <f t="shared" ca="1" si="0"/>
        <v>4242935</v>
      </c>
      <c r="N8" s="23">
        <f t="shared" ca="1" si="0"/>
        <v>4855749.07</v>
      </c>
      <c r="O8" s="22">
        <f t="shared" ref="O8:O16" ca="1" si="1">IF(L8&gt;0,N8*100/L8,0)</f>
        <v>63.163771857732641</v>
      </c>
      <c r="P8" s="22">
        <f t="shared" ref="P8:P16" ca="1" si="2">IF(M8&gt;0,N8*100/M8,0)</f>
        <v>114.44316422476423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7687554</v>
      </c>
      <c r="M10" s="30">
        <f t="shared" ca="1" si="4"/>
        <v>4242935</v>
      </c>
      <c r="N10" s="30">
        <f t="shared" ca="1" si="4"/>
        <v>4855749.07</v>
      </c>
      <c r="O10" s="29">
        <f t="shared" ca="1" si="1"/>
        <v>63.163771857732641</v>
      </c>
      <c r="P10" s="29">
        <f t="shared" ca="1" si="2"/>
        <v>114.44316422476423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6444154</v>
      </c>
      <c r="M12" s="38">
        <f t="shared" ca="1" si="6"/>
        <v>2999535</v>
      </c>
      <c r="N12" s="38">
        <f t="shared" ca="1" si="6"/>
        <v>3624349.07</v>
      </c>
      <c r="O12" s="38">
        <f t="shared" ca="1" si="1"/>
        <v>56.242434150394296</v>
      </c>
      <c r="P12" s="38">
        <f t="shared" ca="1" si="2"/>
        <v>120.8303643731445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4145354</v>
      </c>
      <c r="M14" s="38">
        <f t="shared" si="8"/>
        <v>0</v>
      </c>
      <c r="N14" s="38">
        <f t="shared" ca="1" si="8"/>
        <v>1192909.98</v>
      </c>
      <c r="O14" s="38">
        <f t="shared" ca="1" si="1"/>
        <v>28.777035206160921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1243400</v>
      </c>
      <c r="M16" s="38">
        <f t="shared" ca="1" si="10"/>
        <v>1243400</v>
      </c>
      <c r="N16" s="38">
        <f t="shared" ca="1" si="10"/>
        <v>1231400</v>
      </c>
      <c r="O16" s="49">
        <f t="shared" ca="1" si="1"/>
        <v>99.034904294675883</v>
      </c>
      <c r="P16" s="49">
        <f t="shared" ca="1" si="2"/>
        <v>99.034904294675883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4992635</v>
      </c>
      <c r="M18" s="23">
        <f t="shared" ca="1" si="11"/>
        <v>4242935</v>
      </c>
      <c r="N18" s="23">
        <f t="shared" ca="1" si="11"/>
        <v>3662839.09</v>
      </c>
      <c r="O18" s="22">
        <f t="shared" ref="O18:O20" ca="1" si="12">IF(L18&gt;0,N18*100/L18,0)</f>
        <v>73.364848221430165</v>
      </c>
      <c r="P18" s="22">
        <f t="shared" ref="P18:P26" ca="1" si="13">IF(M18&gt;0,N18*100/M18,0)</f>
        <v>86.327956709211904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4992635</v>
      </c>
      <c r="M20" s="30">
        <f t="shared" ca="1" si="15"/>
        <v>4242935</v>
      </c>
      <c r="N20" s="30">
        <f t="shared" ca="1" si="15"/>
        <v>3662839.09</v>
      </c>
      <c r="O20" s="29">
        <f t="shared" ca="1" si="12"/>
        <v>73.364848221430165</v>
      </c>
      <c r="P20" s="29">
        <f t="shared" ca="1" si="13"/>
        <v>86.327956709211904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3749235</v>
      </c>
      <c r="M22" s="41">
        <f t="shared" ca="1" si="18"/>
        <v>2999535</v>
      </c>
      <c r="N22" s="38">
        <f t="shared" ca="1" si="18"/>
        <v>2431439.09</v>
      </c>
      <c r="O22" s="38">
        <f t="shared" ca="1" si="17"/>
        <v>64.851605460847352</v>
      </c>
      <c r="P22" s="38">
        <f t="shared" ca="1" si="13"/>
        <v>81.060534049444328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1243400</v>
      </c>
      <c r="M26" s="49">
        <f t="shared" ca="1" si="22"/>
        <v>1243400</v>
      </c>
      <c r="N26" s="49">
        <f t="shared" ca="1" si="22"/>
        <v>1231400</v>
      </c>
      <c r="O26" s="49">
        <f t="shared" ca="1" si="17"/>
        <v>99.034904294675883</v>
      </c>
      <c r="P26" s="49">
        <f t="shared" ca="1" si="13"/>
        <v>99.034904294675883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2694919</v>
      </c>
      <c r="M28" s="23">
        <f t="shared" si="23"/>
        <v>0</v>
      </c>
      <c r="N28" s="23">
        <f t="shared" ca="1" si="23"/>
        <v>1192909.98</v>
      </c>
      <c r="O28" s="22">
        <f t="shared" ref="O28:O30" ca="1" si="24">IF(L28&gt;0,N28*100/L28,0)</f>
        <v>44.265151568562914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2694919</v>
      </c>
      <c r="M30" s="30">
        <f t="shared" si="27"/>
        <v>0</v>
      </c>
      <c r="N30" s="30">
        <f t="shared" ca="1" si="27"/>
        <v>1192909.98</v>
      </c>
      <c r="O30" s="29">
        <f t="shared" ca="1" si="24"/>
        <v>44.265151568562914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2694919</v>
      </c>
      <c r="M32" s="38">
        <f t="shared" si="30"/>
        <v>0</v>
      </c>
      <c r="N32" s="38">
        <f t="shared" ca="1" si="30"/>
        <v>1192909.98</v>
      </c>
      <c r="O32" s="38">
        <f t="shared" ca="1" si="29"/>
        <v>44.265151568562914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2694919</v>
      </c>
      <c r="M34" s="38">
        <f t="shared" si="32"/>
        <v>0</v>
      </c>
      <c r="N34" s="38">
        <f t="shared" ca="1" si="32"/>
        <v>1192909.98</v>
      </c>
      <c r="O34" s="38">
        <f t="shared" ca="1" si="29"/>
        <v>44.265151568562914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4992635</v>
      </c>
      <c r="M37" s="54">
        <f t="shared" ca="1" si="33"/>
        <v>4242935</v>
      </c>
      <c r="N37" s="54">
        <f t="shared" ca="1" si="33"/>
        <v>3662839.0900000003</v>
      </c>
      <c r="O37" s="55">
        <f t="shared" ca="1" si="29"/>
        <v>73.364848221430179</v>
      </c>
      <c r="P37" s="55">
        <f t="shared" ca="1" si="25"/>
        <v>86.327956709211918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2062100</v>
      </c>
      <c r="M41" s="78">
        <f t="shared" ca="1" si="34"/>
        <v>1830100</v>
      </c>
      <c r="N41" s="78">
        <f t="shared" ca="1" si="34"/>
        <v>1742614.02</v>
      </c>
      <c r="O41" s="77">
        <f t="shared" ref="O41:O43" ca="1" si="35">IF(L41&gt;0,N41*100/L41,0)</f>
        <v>84.506765918238685</v>
      </c>
      <c r="P41" s="77">
        <f t="shared" ref="P41:P43" ca="1" si="36">IF(M41&gt;0,N41*100/M41,0)</f>
        <v>95.219606578875471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2062100</v>
      </c>
      <c r="M43" s="78">
        <f t="shared" ca="1" si="38"/>
        <v>1830100</v>
      </c>
      <c r="N43" s="78">
        <f t="shared" ca="1" si="38"/>
        <v>1742614.02</v>
      </c>
      <c r="O43" s="77">
        <f t="shared" ca="1" si="35"/>
        <v>84.506765918238685</v>
      </c>
      <c r="P43" s="77">
        <f t="shared" ca="1" si="36"/>
        <v>95.219606578875471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IFERROR(__xludf.DUMMYFUNCTION("IMPORTRANGE(""https://docs.google.com/spreadsheets/d/1Yj_ptqi66GCucihVvJfMjLAmec39IyEx_6qawtMGysU/edit?usp=sharing"",""สบก!Q61"")"),696100)</f>
        <v>696100</v>
      </c>
      <c r="N45" s="49">
        <f ca="1">IFERROR(__xludf.DUMMYFUNCTION("IMPORTRANGE(""https://docs.google.com/spreadsheets/d/1Yj_ptqi66GCucihVvJfMjLAmec39IyEx_6qawtMGysU/edit?usp=sharing"",""สบก!R61"")"),620614.02)</f>
        <v>620614.02</v>
      </c>
      <c r="O45" s="38">
        <f ca="1">IF(L45&gt;0,N45*100/L45,0)</f>
        <v>66.869305031785373</v>
      </c>
      <c r="P45" s="38">
        <f ca="1">IF(M45&gt;0,N45*100/M45,0)</f>
        <v>89.155871282861654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IFERROR(__xludf.DUMMYFUNCTION("IMPORTRANGE(""https://docs.google.com/spreadsheets/d/1Yj_ptqi66GCucihVvJfMjLAmec39IyEx_6qawtMGysU/edit?usp=sharing"",""สบก!O61"")"),1134000)</f>
        <v>1134000</v>
      </c>
      <c r="M49" s="49">
        <f ca="1">L49</f>
        <v>1134000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98.941798941798936</v>
      </c>
      <c r="P49" s="49">
        <f ca="1">IF(M49&gt;0,N49*100/M49,0)</f>
        <v>98.941798941798936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433650</v>
      </c>
      <c r="N53" s="121">
        <f t="shared" ca="1" si="39"/>
        <v>365489</v>
      </c>
      <c r="O53" s="120">
        <f t="shared" ref="O53:O55" ca="1" si="40">IF(L53&gt;0,N53*100/L53,0)</f>
        <v>68.960188679245277</v>
      </c>
      <c r="P53" s="120">
        <f t="shared" ref="P53:P55" ca="1" si="41">IF(M53&gt;0,N53*100/M53,0)</f>
        <v>84.282024674276485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433650</v>
      </c>
      <c r="N55" s="121">
        <f t="shared" ca="1" si="43"/>
        <v>365489</v>
      </c>
      <c r="O55" s="120">
        <f t="shared" ca="1" si="40"/>
        <v>68.960188679245277</v>
      </c>
      <c r="P55" s="120">
        <f t="shared" ca="1" si="41"/>
        <v>84.282024674276485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IFERROR(__xludf.DUMMYFUNCTION("IMPORTRANGE(""https://docs.google.com/spreadsheets/d/1Yj_ptqi66GCucihVvJfMjLAmec39IyEx_6qawtMGysU/edit?usp=sharing"",""สบก!Z61"")"),433650)</f>
        <v>433650</v>
      </c>
      <c r="N57" s="49">
        <f ca="1">IFERROR(__xludf.DUMMYFUNCTION("IMPORTRANGE(""https://docs.google.com/spreadsheets/d/1Yj_ptqi66GCucihVvJfMjLAmec39IyEx_6qawtMGysU/edit?usp=sharing"",""สบก!AA61"")"),365489)</f>
        <v>365489</v>
      </c>
      <c r="O57" s="38">
        <f ca="1">IF(L57&gt;0,N57*100/L57,0)</f>
        <v>68.960188679245277</v>
      </c>
      <c r="P57" s="38">
        <f ca="1">IF(M57&gt;0,N57*100/M57,0)</f>
        <v>84.282024674276485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IFERROR(__xludf.DUMMYFUNCTION("IMPORTRANGE(""https://docs.google.com/spreadsheets/d/1Yj_ptqi66GCucihVvJfMjLAmec39IyEx_6qawtMGysU/edit?usp=sharing"",""สบก!AI61"")"),0)</f>
        <v>0</v>
      </c>
      <c r="N70" s="169">
        <f ca="1">IFERROR(__xludf.DUMMYFUNCTION("IMPORTRANGE(""https://docs.google.com/spreadsheets/d/1Yj_ptqi66GCucihVvJfMjLAmec39IyEx_6qawtMGysU/edit?usp=sharing"",""สบก!AJ61"")"),0)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129170</v>
      </c>
      <c r="O94" s="151">
        <f t="shared" ref="O94:O96" ca="1" si="53">IF(L94&gt;0,N94*100/L94,0)</f>
        <v>60.219114219114218</v>
      </c>
      <c r="P94" s="151">
        <f t="shared" ref="P94:P96" ca="1" si="54">IF(M94&gt;0,N94*100/M94,0)</f>
        <v>66.426679694530861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129170</v>
      </c>
      <c r="O96" s="156">
        <f t="shared" ca="1" si="53"/>
        <v>60.219114219114218</v>
      </c>
      <c r="P96" s="156">
        <f t="shared" ca="1" si="54"/>
        <v>66.426679694530861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IFERROR(__xludf.DUMMYFUNCTION("IMPORTRANGE(""https://docs.google.com/spreadsheets/d/1Yj_ptqi66GCucihVvJfMjLAmec39IyEx_6qawtMGysU/edit?usp=sharing"",""สบก!AR61"")"),102055)</f>
        <v>102055</v>
      </c>
      <c r="N98" s="169">
        <f ca="1">IFERROR(__xludf.DUMMYFUNCTION("IMPORTRANGE(""https://docs.google.com/spreadsheets/d/1Yj_ptqi66GCucihVvJfMjLAmec39IyEx_6qawtMGysU/edit?usp=sharing"",""สบก!AS61"")"),36770)</f>
        <v>36770</v>
      </c>
      <c r="O98" s="169">
        <f ca="1">IF(L98&gt;0,N98*100/L98,0)</f>
        <v>30.114660114660115</v>
      </c>
      <c r="P98" s="169">
        <f ca="1">IF(M98&gt;0,N98*100/M98,0)</f>
        <v>36.029591886727744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IFERROR(__xludf.DUMMYFUNCTION("IMPORTRANGE(""https://docs.google.com/spreadsheets/d/1SX6NBoVAgQJ6U1MVXOaj8PK2l7WJ3RER9xtqwdhxkhw/edit?usp=sharing"",""ฉะเชิงเทรา!J50"")"),0)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69420</v>
      </c>
      <c r="O118" s="151">
        <f t="shared" ref="O118:O120" ca="1" si="59">IF(L118&gt;0,N118*100/L118,0)</f>
        <v>84.206695778748184</v>
      </c>
      <c r="P118" s="151">
        <f t="shared" ref="P118:P120" ca="1" si="60">IF(M118&gt;0,N118*100/M118,0)</f>
        <v>84.206695778748184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69420</v>
      </c>
      <c r="O120" s="156">
        <f t="shared" ca="1" si="59"/>
        <v>84.206695778748184</v>
      </c>
      <c r="P120" s="156">
        <f t="shared" ca="1" si="60"/>
        <v>84.206695778748184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IFERROR(__xludf.DUMMYFUNCTION("IMPORTRANGE(""https://docs.google.com/spreadsheets/d/1Yj_ptqi66GCucihVvJfMjLAmec39IyEx_6qawtMGysU/edit?usp=sharing"",""สบก!BA61"")"),82440)</f>
        <v>82440</v>
      </c>
      <c r="N122" s="169">
        <f ca="1">IFERROR(__xludf.DUMMYFUNCTION("IMPORTRANGE(""https://docs.google.com/spreadsheets/d/1Yj_ptqi66GCucihVvJfMjLAmec39IyEx_6qawtMGysU/edit?usp=sharing"",""สบก!BB61"")"),69420)</f>
        <v>69420</v>
      </c>
      <c r="O122" s="169">
        <f ca="1">IF(L122&gt;0,N122*100/L122,0)</f>
        <v>84.206695778748184</v>
      </c>
      <c r="P122" s="169">
        <f ca="1">IF(M122&gt;0,N122*100/M122,0)</f>
        <v>84.206695778748184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IFERROR(__xludf.DUMMYFUNCTION("IMPORTRANGE(""https://docs.google.com/spreadsheets/d/1Yj_ptqi66GCucihVvJfMjLAmec39IyEx_6qawtMGysU/edit?usp=sharing"",""สบก!AX61"")"),82440)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IFERROR(__xludf.DUMMYFUNCTION("IMPORTRANGE(""https://docs.google.com/spreadsheets/d/1SX6NBoVAgQJ6U1MVXOaj8PK2l7WJ3RER9xtqwdhxkhw/edit?usp=sharing"",""ฉะเชิงเทรา!J65"")"),0)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IFERROR(__xludf.DUMMYFUNCTION("IMPORTRANGE(""https://docs.google.com/spreadsheets/d/1SX6NBoVAgQJ6U1MVXOaj8PK2l7WJ3RER9xtqwdhxkhw/edit?usp=sharing"",""ฉะเชิงเทรา!I68"")"),95)</f>
        <v>95</v>
      </c>
      <c r="J138" s="267">
        <f ca="1">IFERROR(__xludf.DUMMYFUNCTION("IMPORTRANGE(""https://docs.google.com/spreadsheets/d/1SX6NBoVAgQJ6U1MVXOaj8PK2l7WJ3RER9xtqwdhxkhw/edit?usp=sharing"",""ฉะเชิงเทรา!J68"")"),95)</f>
        <v>95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842400</v>
      </c>
      <c r="M140" s="152">
        <f t="shared" ca="1" si="64"/>
        <v>688125</v>
      </c>
      <c r="N140" s="152">
        <f t="shared" ca="1" si="64"/>
        <v>605241.54</v>
      </c>
      <c r="O140" s="151">
        <f t="shared" ref="O140:O142" ca="1" si="65">IF(L140&gt;0,N140*100/L140,0)</f>
        <v>71.847286324786324</v>
      </c>
      <c r="P140" s="151">
        <f t="shared" ref="P140:P142" ca="1" si="66">IF(M140&gt;0,N140*100/M140,0)</f>
        <v>87.955173841961852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842400</v>
      </c>
      <c r="M142" s="157">
        <f t="shared" ca="1" si="68"/>
        <v>688125</v>
      </c>
      <c r="N142" s="157">
        <f t="shared" ca="1" si="68"/>
        <v>605241.54</v>
      </c>
      <c r="O142" s="156">
        <f t="shared" ca="1" si="65"/>
        <v>71.847286324786324</v>
      </c>
      <c r="P142" s="156">
        <f t="shared" ca="1" si="66"/>
        <v>87.955173841961852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842400</v>
      </c>
      <c r="M144" s="168">
        <f ca="1">IFERROR(__xludf.DUMMYFUNCTION("IMPORTRANGE(""https://docs.google.com/spreadsheets/d/1Yj_ptqi66GCucihVvJfMjLAmec39IyEx_6qawtMGysU/edit?usp=sharing"",""สบก!BJ61"")"),688125)</f>
        <v>688125</v>
      </c>
      <c r="N144" s="169">
        <f ca="1">IFERROR(__xludf.DUMMYFUNCTION("IMPORTRANGE(""https://docs.google.com/spreadsheets/d/1Yj_ptqi66GCucihVvJfMjLAmec39IyEx_6qawtMGysU/edit?usp=sharing"",""สบก!BK61"")"),605241.54)</f>
        <v>605241.54</v>
      </c>
      <c r="O144" s="169">
        <f ca="1">IF(L144&gt;0,N144*100/L144,0)</f>
        <v>71.847286324786324</v>
      </c>
      <c r="P144" s="169">
        <f ca="1">IF(M144&gt;0,N144*100/M144,0)</f>
        <v>87.955173841961852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IFERROR(__xludf.DUMMYFUNCTION("IMPORTRANGE(""https://docs.google.com/spreadsheets/d/1Yj_ptqi66GCucihVvJfMjLAmec39IyEx_6qawtMGysU/edit?usp=sharing"",""สบก!BG61"")"),530900)</f>
        <v>530900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IFERROR(__xludf.DUMMYFUNCTION("IMPORTRANGE(""https://docs.google.com/spreadsheets/d/1SX6NBoVAgQJ6U1MVXOaj8PK2l7WJ3RER9xtqwdhxkhw/edit?usp=sharing"",""ฉะเชิงเทรา!I74"")"),4)</f>
        <v>4</v>
      </c>
      <c r="J149" s="275">
        <f ca="1">IFERROR(__xludf.DUMMYFUNCTION("IMPORTRANGE(""https://docs.google.com/spreadsheets/d/1SX6NBoVAgQJ6U1MVXOaj8PK2l7WJ3RER9xtqwdhxkhw/edit?usp=sharing"",""ฉะเชิงเทรา!J74"")"),2)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IFERROR(__xludf.DUMMYFUNCTION("IMPORTRANGE(""https://docs.google.com/spreadsheets/d/1SX6NBoVAgQJ6U1MVXOaj8PK2l7WJ3RER9xtqwdhxkhw/edit?usp=sharing"",""ฉะเชิงเทรา!J85"")"),76)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IFERROR(__xludf.DUMMYFUNCTION("IMPORTRANGE(""https://docs.google.com/spreadsheets/d/1SX6NBoVAgQJ6U1MVXOaj8PK2l7WJ3RER9xtqwdhxkhw/edit?usp=sharing"",""ฉะเชิงเทรา!I89"")"),4)</f>
        <v>4</v>
      </c>
      <c r="J164" s="284">
        <f ca="1">IFERROR(__xludf.DUMMYFUNCTION("IMPORTRANGE(""https://docs.google.com/spreadsheets/d/1SX6NBoVAgQJ6U1MVXOaj8PK2l7WJ3RER9xtqwdhxkhw/edit?usp=sharing"",""ฉะเชิงเทรา!J89"")"),4)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IFERROR(__xludf.DUMMYFUNCTION("IMPORTRANGE(""https://docs.google.com/spreadsheets/d/1SX6NBoVAgQJ6U1MVXOaj8PK2l7WJ3RER9xtqwdhxkhw/edit?usp=sharing"",""ฉะเชิงเทรา!I101"")"),3)</f>
        <v>3</v>
      </c>
      <c r="J176" s="284">
        <f ca="1">IFERROR(__xludf.DUMMYFUNCTION("IMPORTRANGE(""https://docs.google.com/spreadsheets/d/1SX6NBoVAgQJ6U1MVXOaj8PK2l7WJ3RER9xtqwdhxkhw/edit?usp=sharing"",""ฉะเชิงเทรา!J101"")"),3)</f>
        <v>3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IFERROR(__xludf.DUMMYFUNCTION("IMPORTRANGE(""https://docs.google.com/spreadsheets/d/1SX6NBoVAgQJ6U1MVXOaj8PK2l7WJ3RER9xtqwdhxkhw/edit?usp=sharing"",""ฉะเชิงเทรา!J110"")"),3)</f>
        <v>3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IFERROR(__xludf.DUMMYFUNCTION("IMPORTRANGE(""https://docs.google.com/spreadsheets/d/1SX6NBoVAgQJ6U1MVXOaj8PK2l7WJ3RER9xtqwdhxkhw/edit?usp=sharing"",""ฉะเชิงเทรา!J113"")"),0)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IFERROR(__xludf.DUMMYFUNCTION("IMPORTRANGE(""https://docs.google.com/spreadsheets/d/1SX6NBoVAgQJ6U1MVXOaj8PK2l7WJ3RER9xtqwdhxkhw/edit?usp=sharing"",""ฉะเชิงเทรา!I114"")"),40000)</f>
        <v>40000</v>
      </c>
      <c r="J189" s="284">
        <f ca="1">IFERROR(__xludf.DUMMYFUNCTION("IMPORTRANGE(""https://docs.google.com/spreadsheets/d/1SX6NBoVAgQJ6U1MVXOaj8PK2l7WJ3RER9xtqwdhxkhw/edit?usp=sharing"",""ฉะเชิงเทรา!J114"")"),0)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IFERROR(__xludf.DUMMYFUNCTION("IMPORTRANGE(""https://docs.google.com/spreadsheets/d/1SX6NBoVAgQJ6U1MVXOaj8PK2l7WJ3RER9xtqwdhxkhw/edit?usp=sharing"",""ฉะเชิงเทรา!J128"")"),0)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IFERROR(__xludf.DUMMYFUNCTION("IMPORTRANGE(""https://docs.google.com/spreadsheets/d/1SX6NBoVAgQJ6U1MVXOaj8PK2l7WJ3RER9xtqwdhxkhw/edit?usp=sharing"",""ฉะเชิงเทรา!I129"")"),80)</f>
        <v>80</v>
      </c>
      <c r="J204" s="284">
        <f ca="1">IFERROR(__xludf.DUMMYFUNCTION("IMPORTRANGE(""https://docs.google.com/spreadsheets/d/1SX6NBoVAgQJ6U1MVXOaj8PK2l7WJ3RER9xtqwdhxkhw/edit?usp=sharing"",""ฉะเชิงเทรา!J129"")"),80)</f>
        <v>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IFERROR(__xludf.DUMMYFUNCTION("IMPORTRANGE(""https://docs.google.com/spreadsheets/d/1SX6NBoVAgQJ6U1MVXOaj8PK2l7WJ3RER9xtqwdhxkhw/edit?usp=sharing"",""ฉะเชิงเทรา!J140"")"),40)</f>
        <v>40</v>
      </c>
      <c r="K215" s="224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IFERROR(__xludf.DUMMYFUNCTION("IMPORTRANGE(""https://docs.google.com/spreadsheets/d/1SX6NBoVAgQJ6U1MVXOaj8PK2l7WJ3RER9xtqwdhxkhw/edit?usp=sharing"",""ฉะเชิงเทรา!J141"")"),1)</f>
        <v>1</v>
      </c>
      <c r="K216" s="224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IFERROR(__xludf.DUMMYFUNCTION("IMPORTRANGE(""https://docs.google.com/spreadsheets/d/1SX6NBoVAgQJ6U1MVXOaj8PK2l7WJ3RER9xtqwdhxkhw/edit?usp=sharing"",""ฉะเชิงเทรา!J143"")"),0)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IFERROR(__xludf.DUMMYFUNCTION("IMPORTRANGE(""https://docs.google.com/spreadsheets/d/1SX6NBoVAgQJ6U1MVXOaj8PK2l7WJ3RER9xtqwdhxkhw/edit?usp=sharing"",""ฉะเชิงเทรา!I144"")"),15)</f>
        <v>15</v>
      </c>
      <c r="J219" s="267">
        <f ca="1">IFERROR(__xludf.DUMMYFUNCTION("IMPORTRANGE(""https://docs.google.com/spreadsheets/d/1SX6NBoVAgQJ6U1MVXOaj8PK2l7WJ3RER9xtqwdhxkhw/edit?usp=sharing"",""ฉะเชิงเทรา!J144"")"),15)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IFERROR(__xludf.DUMMYFUNCTION("IMPORTRANGE(""https://docs.google.com/spreadsheets/d/1SX6NBoVAgQJ6U1MVXOaj8PK2l7WJ3RER9xtqwdhxkhw/edit?usp=sharing"",""ฉะเชิงเทรา!I149"")"),15)</f>
        <v>15</v>
      </c>
      <c r="J229" s="267">
        <f ca="1">IFERROR(__xludf.DUMMYFUNCTION("IMPORTRANGE(""https://docs.google.com/spreadsheets/d/1SX6NBoVAgQJ6U1MVXOaj8PK2l7WJ3RER9xtqwdhxkhw/edit?usp=sharing"",""ฉะเชิงเทรา!J149"")"),15)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IFERROR(__xludf.DUMMYFUNCTION("IMPORTRANGE(""https://docs.google.com/spreadsheets/d/1SX6NBoVAgQJ6U1MVXOaj8PK2l7WJ3RER9xtqwdhxkhw/edit?usp=sharing"",""ฉะเชิงเทรา!J157"")"),0)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IFERROR(__xludf.DUMMYFUNCTION("IMPORTRANGE(""https://docs.google.com/spreadsheets/d/1SX6NBoVAgQJ6U1MVXOaj8PK2l7WJ3RER9xtqwdhxkhw/edit?usp=sharing"",""ฉะเชิงเทรา!I158"")"),0)</f>
        <v>0</v>
      </c>
      <c r="J238" s="267">
        <f ca="1">IFERROR(__xludf.DUMMYFUNCTION("IMPORTRANGE(""https://docs.google.com/spreadsheets/d/1SX6NBoVAgQJ6U1MVXOaj8PK2l7WJ3RER9xtqwdhxkhw/edit?usp=sharing"",""ฉะเชิงเทรา!J158"")"),0)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IFERROR(__xludf.DUMMYFUNCTION("IMPORTRANGE(""https://docs.google.com/spreadsheets/d/1SX6NBoVAgQJ6U1MVXOaj8PK2l7WJ3RER9xtqwdhxkhw/edit?usp=sharing"",""ฉะเชิงเทรา!J166"")"),0)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IFERROR(__xludf.DUMMYFUNCTION("IMPORTRANGE(""https://docs.google.com/spreadsheets/d/1SX6NBoVAgQJ6U1MVXOaj8PK2l7WJ3RER9xtqwdhxkhw/edit?usp=sharing"",""ฉะเชิงเทรา!I169"")"),20)</f>
        <v>20</v>
      </c>
      <c r="J249" s="316">
        <f ca="1">IFERROR(__xludf.DUMMYFUNCTION("IMPORTRANGE(""https://docs.google.com/spreadsheets/d/1SX6NBoVAgQJ6U1MVXOaj8PK2l7WJ3RER9xtqwdhxkhw/edit?usp=sharing"",""ฉะเชิงเทรา!J169"")"),20)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36470</v>
      </c>
      <c r="O250" s="151">
        <f t="shared" ref="O250:O252" ca="1" si="78">IF(L250&gt;0,N250*100/L250,0)</f>
        <v>51.078431372549019</v>
      </c>
      <c r="P250" s="151">
        <f t="shared" ref="P250:P252" ca="1" si="79">IF(M250&gt;0,N250*100/M250,0)</f>
        <v>86.833333333333329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36470</v>
      </c>
      <c r="O252" s="156">
        <f t="shared" ca="1" si="78"/>
        <v>51.078431372549019</v>
      </c>
      <c r="P252" s="156">
        <f t="shared" ca="1" si="79"/>
        <v>86.833333333333329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IFERROR(__xludf.DUMMYFUNCTION("IMPORTRANGE(""https://docs.google.com/spreadsheets/d/1Yj_ptqi66GCucihVvJfMjLAmec39IyEx_6qawtMGysU/edit?usp=sharing"",""สบก!CB61"")"),42000)</f>
        <v>42000</v>
      </c>
      <c r="N254" s="169">
        <f ca="1">IFERROR(__xludf.DUMMYFUNCTION("IMPORTRANGE(""https://docs.google.com/spreadsheets/d/1Yj_ptqi66GCucihVvJfMjLAmec39IyEx_6qawtMGysU/edit?usp=sharing"",""สบก!CC61"")"),36470)</f>
        <v>36470</v>
      </c>
      <c r="O254" s="169">
        <f ca="1">IF(L254&gt;0,N254*100/L254,0)</f>
        <v>51.078431372549019</v>
      </c>
      <c r="P254" s="169">
        <f ca="1">IF(M254&gt;0,N254*100/M254,0)</f>
        <v>86.833333333333329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IFERROR(__xludf.DUMMYFUNCTION("IMPORTRANGE(""https://docs.google.com/spreadsheets/d/1SX6NBoVAgQJ6U1MVXOaj8PK2l7WJ3RER9xtqwdhxkhw/edit?usp=sharing"",""ฉะเชิงเทรา!J184"")"),0)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IFERROR(__xludf.DUMMYFUNCTION("IMPORTRANGE(""https://docs.google.com/spreadsheets/d/1SX6NBoVAgQJ6U1MVXOaj8PK2l7WJ3RER9xtqwdhxkhw/edit?usp=sharing"",""ฉะเชิงเทรา!I185"")"),20)</f>
        <v>20</v>
      </c>
      <c r="J270" s="316">
        <f ca="1">IFERROR(__xludf.DUMMYFUNCTION("IMPORTRANGE(""https://docs.google.com/spreadsheets/d/1SX6NBoVAgQJ6U1MVXOaj8PK2l7WJ3RER9xtqwdhxkhw/edit?usp=sharing"",""ฉะเชิงเทรา!J185"")"),20)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109659.72</v>
      </c>
      <c r="O271" s="151">
        <f t="shared" ref="O271:O273" ca="1" si="84">IF(L271&gt;0,N271*100/L271,0)</f>
        <v>59.727516339869283</v>
      </c>
      <c r="P271" s="151">
        <f t="shared" ref="P271:P273" ca="1" si="85">IF(M271&gt;0,N271*100/M271,0)</f>
        <v>67.85873762376238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109659.72</v>
      </c>
      <c r="O273" s="156">
        <f t="shared" ca="1" si="84"/>
        <v>59.727516339869283</v>
      </c>
      <c r="P273" s="156">
        <f t="shared" ca="1" si="85"/>
        <v>67.85873762376238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IFERROR(__xludf.DUMMYFUNCTION("IMPORTRANGE(""https://docs.google.com/spreadsheets/d/1Yj_ptqi66GCucihVvJfMjLAmec39IyEx_6qawtMGysU/edit?usp=sharing"",""สบก!CK61"")"),161600)</f>
        <v>161600</v>
      </c>
      <c r="N275" s="169">
        <f ca="1">IFERROR(__xludf.DUMMYFUNCTION("IMPORTRANGE(""https://docs.google.com/spreadsheets/d/1Yj_ptqi66GCucihVvJfMjLAmec39IyEx_6qawtMGysU/edit?usp=sharing"",""สบก!CL61"")"),109659.72)</f>
        <v>109659.72</v>
      </c>
      <c r="O275" s="169">
        <f ca="1">IF(L275&gt;0,N275*100/L275,0)</f>
        <v>59.727516339869283</v>
      </c>
      <c r="P275" s="169">
        <f ca="1">IF(M275&gt;0,N275*100/M275,0)</f>
        <v>67.85873762376238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IFERROR(__xludf.DUMMYFUNCTION("IMPORTRANGE(""https://docs.google.com/spreadsheets/d/1SX6NBoVAgQJ6U1MVXOaj8PK2l7WJ3RER9xtqwdhxkhw/edit?usp=sharing"",""ฉะเชิงเทรา!I199"")"),0)</f>
        <v>0</v>
      </c>
      <c r="J289" s="316">
        <f ca="1">IFERROR(__xludf.DUMMYFUNCTION("IMPORTRANGE(""https://docs.google.com/spreadsheets/d/1SX6NBoVAgQJ6U1MVXOaj8PK2l7WJ3RER9xtqwdhxkhw/edit?usp=sharing"",""ฉะเชิงเทรา!J199"")"),0)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IFERROR(__xludf.DUMMYFUNCTION("IMPORTRANGE(""https://docs.google.com/spreadsheets/d/1SX6NBoVAgQJ6U1MVXOaj8PK2l7WJ3RER9xtqwdhxkhw/edit?usp=sharing"",""ฉะเชิงเทรา!J213"")"),0)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IFERROR(__xludf.DUMMYFUNCTION("IMPORTRANGE(""https://docs.google.com/spreadsheets/d/1SX6NBoVAgQJ6U1MVXOaj8PK2l7WJ3RER9xtqwdhxkhw/edit?usp=sharing"",""ฉะเชิงเทรา!I214"")"),0)</f>
        <v>0</v>
      </c>
      <c r="J309" s="333">
        <f ca="1">IFERROR(__xludf.DUMMYFUNCTION("IMPORTRANGE(""https://docs.google.com/spreadsheets/d/1SX6NBoVAgQJ6U1MVXOaj8PK2l7WJ3RER9xtqwdhxkhw/edit?usp=sharing"",""ฉะเชิงเทรา!J214"")"),0)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IFERROR(__xludf.DUMMYFUNCTION("IMPORTRANGE(""https://docs.google.com/spreadsheets/d/1SX6NBoVAgQJ6U1MVXOaj8PK2l7WJ3RER9xtqwdhxkhw/edit?usp=sharing"",""ฉะเชิงเทรา!J226"")"),0)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IFERROR(__xludf.DUMMYFUNCTION("IMPORTRANGE(""https://docs.google.com/spreadsheets/d/1SX6NBoVAgQJ6U1MVXOaj8PK2l7WJ3RER9xtqwdhxkhw/edit?usp=sharing"",""ฉะเชิงเทรา!I228"")"),210)</f>
        <v>210</v>
      </c>
      <c r="J328" s="339">
        <f ca="1">IFERROR(__xludf.DUMMYFUNCTION("IMPORTRANGE(""https://docs.google.com/spreadsheets/d/1SX6NBoVAgQJ6U1MVXOaj8PK2l7WJ3RER9xtqwdhxkhw/edit?usp=sharing"",""ฉะเชิงเทรา!J228"")"),164)</f>
        <v>164</v>
      </c>
      <c r="K328" s="317">
        <f ca="1">IF(I328&gt;0,J328*100/I328,0)</f>
        <v>78.095238095238102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985070</v>
      </c>
      <c r="M329" s="152">
        <f t="shared" ca="1" si="98"/>
        <v>789440</v>
      </c>
      <c r="N329" s="152">
        <f t="shared" ca="1" si="98"/>
        <v>583649.81000000006</v>
      </c>
      <c r="O329" s="151">
        <f t="shared" ref="O329:O331" ca="1" si="99">IF(L329&gt;0,N329*100/L329,0)</f>
        <v>59.249577187408008</v>
      </c>
      <c r="P329" s="151">
        <f t="shared" ref="P329:P331" ca="1" si="100">IF(M329&gt;0,N329*100/M329,0)</f>
        <v>73.932130370895834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985070</v>
      </c>
      <c r="M331" s="157">
        <f t="shared" ca="1" si="102"/>
        <v>789440</v>
      </c>
      <c r="N331" s="157">
        <f t="shared" ca="1" si="102"/>
        <v>583649.81000000006</v>
      </c>
      <c r="O331" s="156">
        <f t="shared" ca="1" si="99"/>
        <v>59.249577187408008</v>
      </c>
      <c r="P331" s="156">
        <f t="shared" ca="1" si="100"/>
        <v>73.932130370895834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968070</v>
      </c>
      <c r="M333" s="168">
        <f ca="1">IFERROR(__xludf.DUMMYFUNCTION("IMPORTRANGE(""https://docs.google.com/spreadsheets/d/1Yj_ptqi66GCucihVvJfMjLAmec39IyEx_6qawtMGysU/edit?usp=sharing"",""สบก!DL61"")"),772440)</f>
        <v>772440</v>
      </c>
      <c r="N333" s="169">
        <f ca="1">IFERROR(__xludf.DUMMYFUNCTION("IMPORTRANGE(""https://docs.google.com/spreadsheets/d/1Yj_ptqi66GCucihVvJfMjLAmec39IyEx_6qawtMGysU/edit?usp=sharing"",""สบก!DM61"")"),566649.81)</f>
        <v>566649.81000000006</v>
      </c>
      <c r="O333" s="169">
        <f ca="1">IF(L333&gt;0,N333*100/L333,0)</f>
        <v>58.533970683938151</v>
      </c>
      <c r="P333" s="169">
        <f ca="1">IF(M333&gt;0,N333*100/M333,0)</f>
        <v>73.358423955258672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IFERROR(__xludf.DUMMYFUNCTION("IMPORTRANGE(""https://docs.google.com/spreadsheets/d/1Yj_ptqi66GCucihVvJfMjLAmec39IyEx_6qawtMGysU/edit?usp=sharing"",""สบก!DI61"")"),438870)</f>
        <v>438870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IFERROR(__xludf.DUMMYFUNCTION("IMPORTRANGE(""https://docs.google.com/spreadsheets/d/1SX6NBoVAgQJ6U1MVXOaj8PK2l7WJ3RER9xtqwdhxkhw/edit?usp=sharing"",""ฉะเชิงเทรา!J234"")"),329)</f>
        <v>329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IFERROR(__xludf.DUMMYFUNCTION("IMPORTRANGE(""https://docs.google.com/spreadsheets/d/1SX6NBoVAgQJ6U1MVXOaj8PK2l7WJ3RER9xtqwdhxkhw/edit?usp=sharing"",""ฉะเชิงเทรา!J235"")"),3817.64)</f>
        <v>3817.64</v>
      </c>
      <c r="K340" s="342">
        <f t="shared" ca="1" si="103"/>
        <v>120.81139240506329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IFERROR(__xludf.DUMMYFUNCTION("IMPORTRANGE(""https://docs.google.com/spreadsheets/d/1SX6NBoVAgQJ6U1MVXOaj8PK2l7WJ3RER9xtqwdhxkhw/edit?usp=sharing"",""ฉะเชิงเทรา!J236"")"),253)</f>
        <v>253</v>
      </c>
      <c r="K341" s="342">
        <f t="shared" ca="1" si="103"/>
        <v>120.47619047619048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IFERROR(__xludf.DUMMYFUNCTION("IMPORTRANGE(""https://docs.google.com/spreadsheets/d/1SX6NBoVAgQJ6U1MVXOaj8PK2l7WJ3RER9xtqwdhxkhw/edit?usp=sharing"",""ฉะเชิงเทรา!J237"")"),3332.5)</f>
        <v>3332.5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IFERROR(__xludf.DUMMYFUNCTION("IMPORTRANGE(""https://docs.google.com/spreadsheets/d/1SX6NBoVAgQJ6U1MVXOaj8PK2l7WJ3RER9xtqwdhxkhw/edit?usp=sharing"",""ฉะเชิงเทรา!J240"")"),164)</f>
        <v>164</v>
      </c>
      <c r="K345" s="342">
        <f t="shared" ca="1" si="103"/>
        <v>78.095238095238102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IFERROR(__xludf.DUMMYFUNCTION("IMPORTRANGE(""https://docs.google.com/spreadsheets/d/1SX6NBoVAgQJ6U1MVXOaj8PK2l7WJ3RER9xtqwdhxkhw/edit?usp=sharing"",""ฉะเชิงเทรา!J241"")"),2432.42)</f>
        <v>2432.42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IFERROR(__xludf.DUMMYFUNCTION("IMPORTRANGE(""https://docs.google.com/spreadsheets/d/1SX6NBoVAgQJ6U1MVXOaj8PK2l7WJ3RER9xtqwdhxkhw/edit?usp=sharing"",""ฉะเชิงเทรา!L242"")"),2694919)</f>
        <v>2694919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IFERROR(__xludf.DUMMYFUNCTION("IMPORTRANGE(""https://docs.google.com/spreadsheets/d/1SX6NBoVAgQJ6U1MVXOaj8PK2l7WJ3RER9xtqwdhxkhw/edit?usp=sharing"",""ฉะเชิงเทรา!M242"")"),1192909.98)</f>
        <v>1192909.98</v>
      </c>
      <c r="O347" s="358">
        <f ca="1">+IF(L347&gt;0,N347*100/L347,0)</f>
        <v>44.265151568562914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IFERROR(__xludf.DUMMYFUNCTION("IMPORTRANGE(""https://docs.google.com/spreadsheets/d/1SX6NBoVAgQJ6U1MVXOaj8PK2l7WJ3RER9xtqwdhxkhw/edit?usp=sharing"",""ฉะเชิงเทรา!M244"")"),213612.92)</f>
        <v>213612.92</v>
      </c>
      <c r="O349" s="373">
        <f ca="1">+IF(L349&gt;0,N349*100/L349,0)</f>
        <v>65.82021322487212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IFERROR(__xludf.DUMMYFUNCTION("IMPORTRANGE(""https://docs.google.com/spreadsheets/d/1SX6NBoVAgQJ6U1MVXOaj8PK2l7WJ3RER9xtqwdhxkhw/edit?usp=sharing"",""ฉะเชิงเทรา!M247"")"),213612.92)</f>
        <v>213612.92</v>
      </c>
      <c r="O352" s="165">
        <f t="shared" ca="1" si="105"/>
        <v>65.82021322487212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IFERROR(__xludf.DUMMYFUNCTION("IMPORTRANGE(""https://docs.google.com/spreadsheets/d/1SX6NBoVAgQJ6U1MVXOaj8PK2l7WJ3RER9xtqwdhxkhw/edit?usp=sharing"",""ฉะเชิงเทรา!L249"")"),324540)</f>
        <v>324540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IFERROR(__xludf.DUMMYFUNCTION("IMPORTRANGE(""https://docs.google.com/spreadsheets/d/1SX6NBoVAgQJ6U1MVXOaj8PK2l7WJ3RER9xtqwdhxkhw/edit?usp=sharing"",""ฉะเชิงเทรา!M249"")"),213612.92)</f>
        <v>213612.92</v>
      </c>
      <c r="O354" s="169">
        <f t="shared" ca="1" si="105"/>
        <v>65.82021322487212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IFERROR(__xludf.DUMMYFUNCTION("IMPORTRANGE(""https://docs.google.com/spreadsheets/d/1SX6NBoVAgQJ6U1MVXOaj8PK2l7WJ3RER9xtqwdhxkhw/edit?usp=sharing"",""ฉะเชิงเทรา!M252"")"),54632.92)</f>
        <v>54632.92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IFERROR(__xludf.DUMMYFUNCTION("IMPORTRANGE(""https://docs.google.com/spreadsheets/d/1SX6NBoVAgQJ6U1MVXOaj8PK2l7WJ3RER9xtqwdhxkhw/edit?usp=sharing"",""ฉะเชิงเทรา!M253"")"),21820)</f>
        <v>21820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IFERROR(__xludf.DUMMYFUNCTION("IMPORTRANGE(""https://docs.google.com/spreadsheets/d/1SX6NBoVAgQJ6U1MVXOaj8PK2l7WJ3RER9xtqwdhxkhw/edit?usp=sharing"",""ฉะเชิงเทรา!M275"")"),265153.42)</f>
        <v>265153.42</v>
      </c>
      <c r="O380" s="373">
        <f ca="1">+IF(L380&gt;0,N380*100/L380,0)</f>
        <v>25.780093726908568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IFERROR(__xludf.DUMMYFUNCTION("IMPORTRANGE(""https://docs.google.com/spreadsheets/d/1SX6NBoVAgQJ6U1MVXOaj8PK2l7WJ3RER9xtqwdhxkhw/edit?usp=sharing"",""ฉะเชิงเทรา!M278"")"),265153.42)</f>
        <v>265153.42</v>
      </c>
      <c r="O383" s="165">
        <f t="shared" ca="1" si="109"/>
        <v>25.780093726908568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IFERROR(__xludf.DUMMYFUNCTION("IMPORTRANGE(""https://docs.google.com/spreadsheets/d/1SX6NBoVAgQJ6U1MVXOaj8PK2l7WJ3RER9xtqwdhxkhw/edit?usp=sharing"",""ฉะเชิงเทรา!M280"")"),265153.42)</f>
        <v>265153.42</v>
      </c>
      <c r="O385" s="169">
        <f t="shared" ca="1" si="109"/>
        <v>25.780093726908568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IFERROR(__xludf.DUMMYFUNCTION("IMPORTRANGE(""https://docs.google.com/spreadsheets/d/1SX6NBoVAgQJ6U1MVXOaj8PK2l7WJ3RER9xtqwdhxkhw/edit?usp=sharing"",""ฉะเชิงเทรา!M283"")"),50233.42)</f>
        <v>50233.42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IFERROR(__xludf.DUMMYFUNCTION("IMPORTRANGE(""https://docs.google.com/spreadsheets/d/1SX6NBoVAgQJ6U1MVXOaj8PK2l7WJ3RER9xtqwdhxkhw/edit?usp=sharing"",""ฉะเชิงเทรา!M284"")"),16920)</f>
        <v>16920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IFERROR(__xludf.DUMMYFUNCTION("IMPORTRANGE(""https://docs.google.com/spreadsheets/d/1SX6NBoVAgQJ6U1MVXOaj8PK2l7WJ3RER9xtqwdhxkhw/edit?usp=sharing"",""ฉะเชิงเทรา!M296"")"),244480)</f>
        <v>244480</v>
      </c>
      <c r="O401" s="373">
        <f ca="1">+IF(L401&gt;0,N401*100/L401,0)</f>
        <v>91.387559808612437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IFERROR(__xludf.DUMMYFUNCTION("IMPORTRANGE(""https://docs.google.com/spreadsheets/d/1SX6NBoVAgQJ6U1MVXOaj8PK2l7WJ3RER9xtqwdhxkhw/edit?usp=sharing"",""ฉะเชิงเทรา!M299"")"),244480)</f>
        <v>244480</v>
      </c>
      <c r="O404" s="169">
        <f t="shared" ca="1" si="112"/>
        <v>91.387559808612437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IFERROR(__xludf.DUMMYFUNCTION("IMPORTRANGE(""https://docs.google.com/spreadsheets/d/1SX6NBoVAgQJ6U1MVXOaj8PK2l7WJ3RER9xtqwdhxkhw/edit?usp=sharing"",""ฉะเชิงเทรา!M301"")"),244480)</f>
        <v>244480</v>
      </c>
      <c r="O406" s="169">
        <f t="shared" ca="1" si="112"/>
        <v>91.387559808612437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IFERROR(__xludf.DUMMYFUNCTION("IMPORTRANGE(""https://docs.google.com/spreadsheets/d/1SX6NBoVAgQJ6U1MVXOaj8PK2l7WJ3RER9xtqwdhxkhw/edit?usp=sharing"",""ฉะเชิงเทรา!M305"")"),14700)</f>
        <v>14700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IFERROR(__xludf.DUMMYFUNCTION("IMPORTRANGE(""https://docs.google.com/spreadsheets/d/1SX6NBoVAgQJ6U1MVXOaj8PK2l7WJ3RER9xtqwdhxkhw/edit?usp=sharing"",""ฉะเชิงเทรา!J329"")"),0)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IFERROR(__xludf.DUMMYFUNCTION("IMPORTRANGE(""https://docs.google.com/spreadsheets/d/1SX6NBoVAgQJ6U1MVXOaj8PK2l7WJ3RER9xtqwdhxkhw/edit?usp=sharing"",""ฉะเชิงเทรา!M330"")"),151950)</f>
        <v>151950</v>
      </c>
      <c r="O435" s="412">
        <f t="shared" ref="O435:O439" ca="1" si="114">+IF(L435&gt;0,N435*100/L435,0)</f>
        <v>82.581521739130437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IFERROR(__xludf.DUMMYFUNCTION("IMPORTRANGE(""https://docs.google.com/spreadsheets/d/1SX6NBoVAgQJ6U1MVXOaj8PK2l7WJ3RER9xtqwdhxkhw/edit?usp=sharing"",""ฉะเชิงเทรา!M332"")"),151950)</f>
        <v>151950</v>
      </c>
      <c r="O437" s="169">
        <f t="shared" ca="1" si="114"/>
        <v>82.581521739130437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IFERROR(__xludf.DUMMYFUNCTION("IMPORTRANGE(""https://docs.google.com/spreadsheets/d/1SX6NBoVAgQJ6U1MVXOaj8PK2l7WJ3RER9xtqwdhxkhw/edit?usp=sharing"",""ฉะเชิงเทรา!M334"")"),151950)</f>
        <v>151950</v>
      </c>
      <c r="O439" s="169">
        <f t="shared" ca="1" si="114"/>
        <v>82.581521739130437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IFERROR(__xludf.DUMMYFUNCTION("IMPORTRANGE(""https://docs.google.com/spreadsheets/d/1SX6NBoVAgQJ6U1MVXOaj8PK2l7WJ3RER9xtqwdhxkhw/edit?usp=sharing"",""ฉะเชิงเทรา!M338"")"),18750)</f>
        <v>18750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IFERROR(__xludf.DUMMYFUNCTION("IMPORTRANGE(""https://docs.google.com/spreadsheets/d/1SX6NBoVAgQJ6U1MVXOaj8PK2l7WJ3RER9xtqwdhxkhw/edit?usp=sharing"",""ฉะเชิงเทรา!J349"")"),0)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IFERROR(__xludf.DUMMYFUNCTION("IMPORTRANGE(""https://docs.google.com/spreadsheets/d/1SX6NBoVAgQJ6U1MVXOaj8PK2l7WJ3RER9xtqwdhxkhw/edit?usp=sharing"",""ฉะเชิงเทรา!L350"")"),381379)</f>
        <v>381379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IFERROR(__xludf.DUMMYFUNCTION("IMPORTRANGE(""https://docs.google.com/spreadsheets/d/1SX6NBoVAgQJ6U1MVXOaj8PK2l7WJ3RER9xtqwdhxkhw/edit?usp=sharing"",""ฉะเชิงเทรา!M350"")"),102941)</f>
        <v>102941</v>
      </c>
      <c r="O455" s="373">
        <f t="shared" ref="O455:O459" ca="1" si="116">+IF(L455&gt;0,N455*100/L455,0)</f>
        <v>26.991785074689481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IFERROR(__xludf.DUMMYFUNCTION("IMPORTRANGE(""https://docs.google.com/spreadsheets/d/1SX6NBoVAgQJ6U1MVXOaj8PK2l7WJ3RER9xtqwdhxkhw/edit?usp=sharing"",""ฉะเชิงเทรา!L352"")"),381379)</f>
        <v>381379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IFERROR(__xludf.DUMMYFUNCTION("IMPORTRANGE(""https://docs.google.com/spreadsheets/d/1SX6NBoVAgQJ6U1MVXOaj8PK2l7WJ3RER9xtqwdhxkhw/edit?usp=sharing"",""ฉะเชิงเทรา!M352"")"),102941)</f>
        <v>102941</v>
      </c>
      <c r="O457" s="169">
        <f t="shared" ca="1" si="116"/>
        <v>26.991785074689481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IFERROR(__xludf.DUMMYFUNCTION("IMPORTRANGE(""https://docs.google.com/spreadsheets/d/1SX6NBoVAgQJ6U1MVXOaj8PK2l7WJ3RER9xtqwdhxkhw/edit?usp=sharing"",""ฉะเชิงเทรา!L354"")"),381379)</f>
        <v>381379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IFERROR(__xludf.DUMMYFUNCTION("IMPORTRANGE(""https://docs.google.com/spreadsheets/d/1SX6NBoVAgQJ6U1MVXOaj8PK2l7WJ3RER9xtqwdhxkhw/edit?usp=sharing"",""ฉะเชิงเทรา!M354"")"),102941)</f>
        <v>102941</v>
      </c>
      <c r="O459" s="169">
        <f t="shared" ca="1" si="116"/>
        <v>26.991785074689481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IFERROR(__xludf.DUMMYFUNCTION("IMPORTRANGE(""https://docs.google.com/spreadsheets/d/1SX6NBoVAgQJ6U1MVXOaj8PK2l7WJ3RER9xtqwdhxkhw/edit?usp=sharing"",""ฉะเชิงเทรา!M358"")"),102941)</f>
        <v>102941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IFERROR(__xludf.DUMMYFUNCTION("IMPORTRANGE(""https://docs.google.com/spreadsheets/d/1SX6NBoVAgQJ6U1MVXOaj8PK2l7WJ3RER9xtqwdhxkhw/edit?usp=sharing"",""ฉะเชิงเทรา!I359"")"),24902)</f>
        <v>24902</v>
      </c>
      <c r="J464" s="267">
        <f ca="1">IFERROR(__xludf.DUMMYFUNCTION("IMPORTRANGE(""https://docs.google.com/spreadsheets/d/1SX6NBoVAgQJ6U1MVXOaj8PK2l7WJ3RER9xtqwdhxkhw/edit?usp=sharing"",""ฉะเชิงเทรา!J359"")"),0)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IFERROR(__xludf.DUMMYFUNCTION("IMPORTRANGE(""https://docs.google.com/spreadsheets/d/1SX6NBoVAgQJ6U1MVXOaj8PK2l7WJ3RER9xtqwdhxkhw/edit?usp=sharing"",""ฉะเชิงเทรา!J392"")"),453)</f>
        <v>453</v>
      </c>
      <c r="K497" s="444">
        <f t="shared" ca="1" si="117"/>
        <v>25.15269294836202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IFERROR(__xludf.DUMMYFUNCTION("IMPORTRANGE(""https://docs.google.com/spreadsheets/d/1SX6NBoVAgQJ6U1MVXOaj8PK2l7WJ3RER9xtqwdhxkhw/edit?usp=sharing"",""ฉะเชิงเทรา!J393"")"),453)</f>
        <v>453</v>
      </c>
      <c r="K498" s="163">
        <f t="shared" ca="1" si="117"/>
        <v>25.15269294836202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IFERROR(__xludf.DUMMYFUNCTION("IMPORTRANGE(""https://docs.google.com/spreadsheets/d/1SX6NBoVAgQJ6U1MVXOaj8PK2l7WJ3RER9xtqwdhxkhw/edit?usp=sharing"",""ฉะเชิงเทรา!J394"")"),50)</f>
        <v>50</v>
      </c>
      <c r="K499" s="202">
        <f t="shared" ca="1" si="117"/>
        <v>31.25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IFERROR(__xludf.DUMMYFUNCTION("IMPORTRANGE(""https://docs.google.com/spreadsheets/d/1SX6NBoVAgQJ6U1MVXOaj8PK2l7WJ3RER9xtqwdhxkhw/edit?usp=sharing"",""ฉะเชิงเทรา!J395"")"),453)</f>
        <v>453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IFERROR(__xludf.DUMMYFUNCTION("IMPORTRANGE(""https://docs.google.com/spreadsheets/d/1SX6NBoVAgQJ6U1MVXOaj8PK2l7WJ3RER9xtqwdhxkhw/edit?usp=sharing"",""ฉะเชิงเทรา!J396"")"),50)</f>
        <v>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IFERROR(__xludf.DUMMYFUNCTION("IMPORTRANGE(""https://docs.google.com/spreadsheets/d/1SX6NBoVAgQJ6U1MVXOaj8PK2l7WJ3RER9xtqwdhxkhw/edit?usp=sharing"",""ฉะเชิงเทรา!J397"")"),453)</f>
        <v>453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IFERROR(__xludf.DUMMYFUNCTION("IMPORTRANGE(""https://docs.google.com/spreadsheets/d/1SX6NBoVAgQJ6U1MVXOaj8PK2l7WJ3RER9xtqwdhxkhw/edit?usp=sharing"",""ฉะเชิงเทรา!J398"")"),50)</f>
        <v>50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IFERROR(__xludf.DUMMYFUNCTION("IMPORTRANGE(""https://docs.google.com/spreadsheets/d/1SX6NBoVAgQJ6U1MVXOaj8PK2l7WJ3RER9xtqwdhxkhw/edit?usp=sharing"",""ฉะเชิงเทรา!I411"")"),0)</f>
        <v>0</v>
      </c>
      <c r="J516" s="267">
        <f ca="1">IFERROR(__xludf.DUMMYFUNCTION("IMPORTRANGE(""https://docs.google.com/spreadsheets/d/1SX6NBoVAgQJ6U1MVXOaj8PK2l7WJ3RER9xtqwdhxkhw/edit?usp=sharing"",""ฉะเชิงเทรา!J411"")"),0)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IFERROR(__xludf.DUMMYFUNCTION("IMPORTRANGE(""https://docs.google.com/spreadsheets/d/1SX6NBoVAgQJ6U1MVXOaj8PK2l7WJ3RER9xtqwdhxkhw/edit?usp=sharing"",""ฉะเชิงเทรา!I412"")"),0)</f>
        <v>0</v>
      </c>
      <c r="J517" s="284">
        <f ca="1">IFERROR(__xludf.DUMMYFUNCTION("IMPORTRANGE(""https://docs.google.com/spreadsheets/d/1SX6NBoVAgQJ6U1MVXOaj8PK2l7WJ3RER9xtqwdhxkhw/edit?usp=sharing"",""ฉะเชิงเทรา!J412"")"),0)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IFERROR(__xludf.DUMMYFUNCTION("IMPORTRANGE(""https://docs.google.com/spreadsheets/d/1SX6NBoVAgQJ6U1MVXOaj8PK2l7WJ3RER9xtqwdhxkhw/edit?usp=sharing"",""ฉะเชิงเทรา!I413"")"),0)</f>
        <v>0</v>
      </c>
      <c r="J518" s="284">
        <f ca="1">IFERROR(__xludf.DUMMYFUNCTION("IMPORTRANGE(""https://docs.google.com/spreadsheets/d/1SX6NBoVAgQJ6U1MVXOaj8PK2l7WJ3RER9xtqwdhxkhw/edit?usp=sharing"",""ฉะเชิงเทรา!J413"")"),0)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IFERROR(__xludf.DUMMYFUNCTION("IMPORTRANGE(""https://docs.google.com/spreadsheets/d/1SX6NBoVAgQJ6U1MVXOaj8PK2l7WJ3RER9xtqwdhxkhw/edit?usp=sharing"",""ฉะเชิงเทรา!I420"")"),0)</f>
        <v>0</v>
      </c>
      <c r="J525" s="284">
        <f ca="1">IFERROR(__xludf.DUMMYFUNCTION("IMPORTRANGE(""https://docs.google.com/spreadsheets/d/1SX6NBoVAgQJ6U1MVXOaj8PK2l7WJ3RER9xtqwdhxkhw/edit?usp=sharing"",""ฉะเชิงเทรา!J420"")"),0)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IFERROR(__xludf.DUMMYFUNCTION("IMPORTRANGE(""https://docs.google.com/spreadsheets/d/1SX6NBoVAgQJ6U1MVXOaj8PK2l7WJ3RER9xtqwdhxkhw/edit?usp=sharing"",""ฉะเชิงเทรา!I421"")"),0)</f>
        <v>0</v>
      </c>
      <c r="J526" s="284">
        <f ca="1">IFERROR(__xludf.DUMMYFUNCTION("IMPORTRANGE(""https://docs.google.com/spreadsheets/d/1SX6NBoVAgQJ6U1MVXOaj8PK2l7WJ3RER9xtqwdhxkhw/edit?usp=sharing"",""ฉะเชิงเทรา!J421"")"),0)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IFERROR(__xludf.DUMMYFUNCTION("IMPORTRANGE(""https://docs.google.com/spreadsheets/d/1SX6NBoVAgQJ6U1MVXOaj8PK2l7WJ3RER9xtqwdhxkhw/edit?usp=sharing"",""ฉะเชิงเทรา!M428"")"),30240)</f>
        <v>30240</v>
      </c>
      <c r="O533" s="412">
        <f t="shared" ref="O533:O537" ca="1" si="118">+IF(L533&gt;0,N533*100/L533,0)</f>
        <v>88.060570762958648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IFERROR(__xludf.DUMMYFUNCTION("IMPORTRANGE(""https://docs.google.com/spreadsheets/d/1SX6NBoVAgQJ6U1MVXOaj8PK2l7WJ3RER9xtqwdhxkhw/edit?usp=sharing"",""ฉะเชิงเทรา!M430"")"),30240)</f>
        <v>30240</v>
      </c>
      <c r="O535" s="169">
        <f t="shared" ca="1" si="118"/>
        <v>88.060570762958648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IFERROR(__xludf.DUMMYFUNCTION("IMPORTRANGE(""https://docs.google.com/spreadsheets/d/1SX6NBoVAgQJ6U1MVXOaj8PK2l7WJ3RER9xtqwdhxkhw/edit?usp=sharing"",""ฉะเชิงเทรา!M432"")"),30240)</f>
        <v>30240</v>
      </c>
      <c r="O537" s="169">
        <f t="shared" ca="1" si="118"/>
        <v>88.060570762958648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IFERROR(__xludf.DUMMYFUNCTION("IMPORTRANGE(""https://docs.google.com/spreadsheets/d/1SX6NBoVAgQJ6U1MVXOaj8PK2l7WJ3RER9xtqwdhxkhw/edit?usp=sharing"",""ฉะเชิงเทรา!M436"")"),11500)</f>
        <v>11500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IFERROR(__xludf.DUMMYFUNCTION("IMPORTRANGE(""https://docs.google.com/spreadsheets/d/1SX6NBoVAgQJ6U1MVXOaj8PK2l7WJ3RER9xtqwdhxkhw/edit?usp=sharing"",""ฉะเชิงเทรา!J459"")"),5348)</f>
        <v>5348</v>
      </c>
      <c r="K564" s="372">
        <f ca="1">IF(I564&gt;0,J564*100/I564,0)</f>
        <v>297.11111111111109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IFERROR(__xludf.DUMMYFUNCTION("IMPORTRANGE(""https://docs.google.com/spreadsheets/d/1SX6NBoVAgQJ6U1MVXOaj8PK2l7WJ3RER9xtqwdhxkhw/edit?usp=sharing"",""ฉะเชิงเทรา!M459"")"),73173.0199999999)</f>
        <v>73173.019999999902</v>
      </c>
      <c r="O564" s="373">
        <f t="shared" ref="O564:O568" ca="1" si="122">+IF(L564&gt;0,N564*100/L564,0)</f>
        <v>51.9104852440408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IFERROR(__xludf.DUMMYFUNCTION("IMPORTRANGE(""https://docs.google.com/spreadsheets/d/1SX6NBoVAgQJ6U1MVXOaj8PK2l7WJ3RER9xtqwdhxkhw/edit?usp=sharing"",""ฉะเชิงเทรา!M461"")"),73173.0199999999)</f>
        <v>73173.019999999902</v>
      </c>
      <c r="O566" s="169">
        <f t="shared" ca="1" si="122"/>
        <v>51.9104852440408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IFERROR(__xludf.DUMMYFUNCTION("IMPORTRANGE(""https://docs.google.com/spreadsheets/d/1SX6NBoVAgQJ6U1MVXOaj8PK2l7WJ3RER9xtqwdhxkhw/edit?usp=sharing"",""ฉะเชิงเทรา!M463"")"),73173.0199999999)</f>
        <v>73173.019999999902</v>
      </c>
      <c r="O568" s="169">
        <f t="shared" ca="1" si="122"/>
        <v>51.9104852440408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IFERROR(__xludf.DUMMYFUNCTION("IMPORTRANGE(""https://docs.google.com/spreadsheets/d/1SX6NBoVAgQJ6U1MVXOaj8PK2l7WJ3RER9xtqwdhxkhw/edit?usp=sharing"",""ฉะเชิงเทรา!M466"")"),60133.02)</f>
        <v>60133.02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IFERROR(__xludf.DUMMYFUNCTION("IMPORTRANGE(""https://docs.google.com/spreadsheets/d/1SX6NBoVAgQJ6U1MVXOaj8PK2l7WJ3RER9xtqwdhxkhw/edit?usp=sharing"",""ฉะเชิงเทรา!M467"")"),13040)</f>
        <v>13040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IFERROR(__xludf.DUMMYFUNCTION("IMPORTRANGE(""https://docs.google.com/spreadsheets/d/1SX6NBoVAgQJ6U1MVXOaj8PK2l7WJ3RER9xtqwdhxkhw/edit?usp=sharing"",""ฉะเชิงเทรา!J468"")"),5348)</f>
        <v>5348</v>
      </c>
      <c r="K573" s="202">
        <f ca="1">IF(I573&gt;0,J573*100/I573,0)</f>
        <v>297.11111111111109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IFERROR(__xludf.DUMMYFUNCTION("IMPORTRANGE(""https://docs.google.com/spreadsheets/d/1SX6NBoVAgQJ6U1MVXOaj8PK2l7WJ3RER9xtqwdhxkhw/edit?usp=sharing"",""ฉะเชิงเทรา!J471"")"),201)</f>
        <v>201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IFERROR(__xludf.DUMMYFUNCTION("IMPORTRANGE(""https://docs.google.com/spreadsheets/d/1SX6NBoVAgQJ6U1MVXOaj8PK2l7WJ3RER9xtqwdhxkhw/edit?usp=sharing"",""ฉะเชิงเทรา!J472"")"),5147)</f>
        <v>5147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IFERROR(__xludf.DUMMYFUNCTION("IMPORTRANGE(""https://docs.google.com/spreadsheets/d/1SX6NBoVAgQJ6U1MVXOaj8PK2l7WJ3RER9xtqwdhxkhw/edit?usp=sharing"",""ฉะเชิงเทรา!M475"")"),110459.62)</f>
        <v>110459.62</v>
      </c>
      <c r="O580" s="373">
        <f t="shared" ref="O580:O584" ca="1" si="124">+IF(L580&gt;0,N580*100/L580,0)</f>
        <v>33.656191346739796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IFERROR(__xludf.DUMMYFUNCTION("IMPORTRANGE(""https://docs.google.com/spreadsheets/d/1SX6NBoVAgQJ6U1MVXOaj8PK2l7WJ3RER9xtqwdhxkhw/edit?usp=sharing"",""ฉะเชิงเทรา!M477"")"),110459.62)</f>
        <v>110459.62</v>
      </c>
      <c r="O582" s="169">
        <f t="shared" ca="1" si="124"/>
        <v>33.656191346739796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IFERROR(__xludf.DUMMYFUNCTION("IMPORTRANGE(""https://docs.google.com/spreadsheets/d/1SX6NBoVAgQJ6U1MVXOaj8PK2l7WJ3RER9xtqwdhxkhw/edit?usp=sharing"",""ฉะเชิงเทรา!M479"")"),110459.62)</f>
        <v>110459.62</v>
      </c>
      <c r="O584" s="169">
        <f t="shared" ca="1" si="124"/>
        <v>33.656191346739796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IFERROR(__xludf.DUMMYFUNCTION("IMPORTRANGE(""https://docs.google.com/spreadsheets/d/1SX6NBoVAgQJ6U1MVXOaj8PK2l7WJ3RER9xtqwdhxkhw/edit?usp=sharing"",""ฉะเชิงเทรา!M482"")"),24566.62)</f>
        <v>24566.62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IFERROR(__xludf.DUMMYFUNCTION("IMPORTRANGE(""https://docs.google.com/spreadsheets/d/1SX6NBoVAgQJ6U1MVXOaj8PK2l7WJ3RER9xtqwdhxkhw/edit?usp=sharing"",""ฉะเชิงเทรา!M483"")"),85893)</f>
        <v>85893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IFERROR(__xludf.DUMMYFUNCTION("IMPORTRANGE(""https://docs.google.com/spreadsheets/d/1SX6NBoVAgQJ6U1MVXOaj8PK2l7WJ3RER9xtqwdhxkhw/edit?usp=sharing"",""ฉะเชิงเทรา!J484"")"),185)</f>
        <v>185</v>
      </c>
      <c r="K589" s="163">
        <f t="shared" ref="K589:K596" ca="1" si="125">IF(I589&gt;0,J589*100/I589,0)</f>
        <v>92.5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IFERROR(__xludf.DUMMYFUNCTION("IMPORTRANGE(""https://docs.google.com/spreadsheets/d/1SX6NBoVAgQJ6U1MVXOaj8PK2l7WJ3RER9xtqwdhxkhw/edit?usp=sharing"",""ฉะเชิงเทรา!J485"")"),149.03)</f>
        <v>149.03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IFERROR(__xludf.DUMMYFUNCTION("IMPORTRANGE(""https://docs.google.com/spreadsheets/d/1SX6NBoVAgQJ6U1MVXOaj8PK2l7WJ3RER9xtqwdhxkhw/edit?usp=sharing"",""ฉะเชิงเทรา!J486"")"),20)</f>
        <v>20</v>
      </c>
      <c r="K591" s="163">
        <f t="shared" ca="1" si="125"/>
        <v>10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IFERROR(__xludf.DUMMYFUNCTION("IMPORTRANGE(""https://docs.google.com/spreadsheets/d/1SX6NBoVAgQJ6U1MVXOaj8PK2l7WJ3RER9xtqwdhxkhw/edit?usp=sharing"",""ฉะเชิงเทรา!J487"")"),20.49)</f>
        <v>20.49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IFERROR(__xludf.DUMMYFUNCTION("IMPORTRANGE(""https://docs.google.com/spreadsheets/d/1SX6NBoVAgQJ6U1MVXOaj8PK2l7WJ3RER9xtqwdhxkhw/edit?usp=sharing"",""ฉะเชิงเทรา!I491"")"),0)</f>
        <v>0</v>
      </c>
      <c r="J596" s="241">
        <f ca="1">IFERROR(__xludf.DUMMYFUNCTION("IMPORTRANGE(""https://docs.google.com/spreadsheets/d/1SX6NBoVAgQJ6U1MVXOaj8PK2l7WJ3RER9xtqwdhxkhw/edit?usp=sharing"",""ฉะเชิงเทรา!J491"")"),0)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7">
        <f ca="1">IFERROR(__xludf.DUMMYFUNCTION("IMPORTRANGE(""https://docs.google.com/spreadsheets/d/1SX6NBoVAgQJ6U1MVXOaj8PK2l7WJ3RER9xtqwdhxkhw/edit?usp=sharing"",""ฉะเชิงเทรา!J492"")"),0)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IFERROR(__xludf.DUMMYFUNCTION("IMPORTRANGE(""https://docs.google.com/spreadsheets/d/1SX6NBoVAgQJ6U1MVXOaj8PK2l7WJ3RER9xtqwdhxkhw/edit?usp=sharing"",""ฉะเชิงเทรา!M492"")"),900)</f>
        <v>900</v>
      </c>
      <c r="O597" s="412">
        <f t="shared" ref="O597:O601" ca="1" si="126">+IF(L597&gt;0,N597*100/L597,0)</f>
        <v>16.483516483516482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IFERROR(__xludf.DUMMYFUNCTION("IMPORTRANGE(""https://docs.google.com/spreadsheets/d/1SX6NBoVAgQJ6U1MVXOaj8PK2l7WJ3RER9xtqwdhxkhw/edit?usp=sharing"",""ฉะเชิงเทรา!L494"")"),5460)</f>
        <v>5460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IFERROR(__xludf.DUMMYFUNCTION("IMPORTRANGE(""https://docs.google.com/spreadsheets/d/1SX6NBoVAgQJ6U1MVXOaj8PK2l7WJ3RER9xtqwdhxkhw/edit?usp=sharing"",""ฉะเชิงเทรา!M494"")"),900)</f>
        <v>900</v>
      </c>
      <c r="O599" s="169">
        <f t="shared" ca="1" si="126"/>
        <v>16.483516483516482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IFERROR(__xludf.DUMMYFUNCTION("IMPORTRANGE(""https://docs.google.com/spreadsheets/d/1SX6NBoVAgQJ6U1MVXOaj8PK2l7WJ3RER9xtqwdhxkhw/edit?usp=sharing"",""ฉะเชิงเทรา!L496"")"),5460)</f>
        <v>5460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IFERROR(__xludf.DUMMYFUNCTION("IMPORTRANGE(""https://docs.google.com/spreadsheets/d/1SX6NBoVAgQJ6U1MVXOaj8PK2l7WJ3RER9xtqwdhxkhw/edit?usp=sharing"",""ฉะเชิงเทรา!M496"")"),900)</f>
        <v>900</v>
      </c>
      <c r="O601" s="169">
        <f t="shared" ca="1" si="126"/>
        <v>16.483516483516482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IFERROR(__xludf.DUMMYFUNCTION("IMPORTRANGE(""https://docs.google.com/spreadsheets/d/1SX6NBoVAgQJ6U1MVXOaj8PK2l7WJ3RER9xtqwdhxkhw/edit?usp=sharing"",""ฉะเชิงเทรา!M500"")"),900)</f>
        <v>900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IFERROR(__xludf.DUMMYFUNCTION("IMPORTRANGE(""https://docs.google.com/spreadsheets/d/1SX6NBoVAgQJ6U1MVXOaj8PK2l7WJ3RER9xtqwdhxkhw/edit?usp=sharing"",""ฉะเชิงเทรา!J507"")"),50.55)</f>
        <v>50.55</v>
      </c>
      <c r="K612" s="163">
        <f t="shared" ca="1" si="127"/>
        <v>97.211538461538467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IFERROR(__xludf.DUMMYFUNCTION("IMPORTRANGE(""https://docs.google.com/spreadsheets/d/1SX6NBoVAgQJ6U1MVXOaj8PK2l7WJ3RER9xtqwdhxkhw/edit?usp=sharing"",""ฉะเชิงเทรา!J508"")"),50.55)</f>
        <v>50.55</v>
      </c>
      <c r="K613" s="163">
        <f t="shared" ca="1" si="127"/>
        <v>97.211538461538467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1">
        <f ca="1">IFERROR(__xludf.DUMMYFUNCTION("IMPORTRANGE(""https://docs.google.com/spreadsheets/d/1SX6NBoVAgQJ6U1MVXOaj8PK2l7WJ3RER9xtqwdhxkhw/edit?usp=sharing"",""ฉะเชิงเทรา!J523"")"),2592682.08)</f>
        <v>2592682.08</v>
      </c>
      <c r="K628" s="342">
        <f t="shared" ref="K628:K635" ca="1" si="129">IF(I628&gt;0,J628*100/I628,0)</f>
        <v>67.481964196665075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IFERROR(__xludf.DUMMYFUNCTION("IMPORTRANGE(""https://docs.google.com/spreadsheets/d/1SX6NBoVAgQJ6U1MVXOaj8PK2l7WJ3RER9xtqwdhxkhw/edit?usp=sharing"",""ฉะเชิงเทรา!I524"")"),157)</f>
        <v>157</v>
      </c>
      <c r="J629" s="341">
        <f ca="1">IFERROR(__xludf.DUMMYFUNCTION("IMPORTRANGE(""https://docs.google.com/spreadsheets/d/1SX6NBoVAgQJ6U1MVXOaj8PK2l7WJ3RER9xtqwdhxkhw/edit?usp=sharing"",""ฉะเชิงเทรา!J524"")"),141)</f>
        <v>141</v>
      </c>
      <c r="K629" s="342">
        <f t="shared" ca="1" si="129"/>
        <v>89.808917197452232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1">
        <f ca="1">IFERROR(__xludf.DUMMYFUNCTION("IMPORTRANGE(""https://docs.google.com/spreadsheets/d/1SX6NBoVAgQJ6U1MVXOaj8PK2l7WJ3RER9xtqwdhxkhw/edit?usp=sharing"",""ฉะเชิงเทรา!J525"")"),869797.38)</f>
        <v>869797.38</v>
      </c>
      <c r="K630" s="342">
        <f t="shared" ca="1" si="129"/>
        <v>8.3518841725488766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IFERROR(__xludf.DUMMYFUNCTION("IMPORTRANGE(""https://docs.google.com/spreadsheets/d/1SX6NBoVAgQJ6U1MVXOaj8PK2l7WJ3RER9xtqwdhxkhw/edit?usp=sharing"",""ฉะเชิงเทรา!I526"")"),275)</f>
        <v>275</v>
      </c>
      <c r="J631" s="341">
        <f ca="1">IFERROR(__xludf.DUMMYFUNCTION("IMPORTRANGE(""https://docs.google.com/spreadsheets/d/1SX6NBoVAgQJ6U1MVXOaj8PK2l7WJ3RER9xtqwdhxkhw/edit?usp=sharing"",""ฉะเชิงเทรา!J526"")"),92)</f>
        <v>92</v>
      </c>
      <c r="K631" s="342">
        <f t="shared" ca="1" si="129"/>
        <v>33.454545454545453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1">
        <f ca="1">IFERROR(__xludf.DUMMYFUNCTION("IMPORTRANGE(""https://docs.google.com/spreadsheets/d/1SX6NBoVAgQJ6U1MVXOaj8PK2l7WJ3RER9xtqwdhxkhw/edit?usp=sharing"",""ฉะเชิงเทรา!J527"")"),1960356.83)</f>
        <v>1960356.83</v>
      </c>
      <c r="K632" s="342">
        <f t="shared" ca="1" si="129"/>
        <v>34.597614127474891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IFERROR(__xludf.DUMMYFUNCTION("IMPORTRANGE(""https://docs.google.com/spreadsheets/d/1SX6NBoVAgQJ6U1MVXOaj8PK2l7WJ3RER9xtqwdhxkhw/edit?usp=sharing"",""ฉะเชิงเทรา!I528"")"),2632)</f>
        <v>2632</v>
      </c>
      <c r="J633" s="341">
        <f ca="1">IFERROR(__xludf.DUMMYFUNCTION("IMPORTRANGE(""https://docs.google.com/spreadsheets/d/1SX6NBoVAgQJ6U1MVXOaj8PK2l7WJ3RER9xtqwdhxkhw/edit?usp=sharing"",""ฉะเชิงเทรา!J528"")"),1116)</f>
        <v>1116</v>
      </c>
      <c r="K633" s="342">
        <f t="shared" ca="1" si="129"/>
        <v>42.401215805471125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1">
        <f ca="1">IFERROR(__xludf.DUMMYFUNCTION("IMPORTRANGE(""https://docs.google.com/spreadsheets/d/1SX6NBoVAgQJ6U1MVXOaj8PK2l7WJ3RER9xtqwdhxkhw/edit?usp=sharing"",""ฉะเชิงเทรา!J529"")"),1920000)</f>
        <v>1920000</v>
      </c>
      <c r="K634" s="342">
        <f t="shared" ca="1" si="129"/>
        <v>64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IFERROR(__xludf.DUMMYFUNCTION("IMPORTRANGE(""https://docs.google.com/spreadsheets/d/1SX6NBoVAgQJ6U1MVXOaj8PK2l7WJ3RER9xtqwdhxkhw/edit?usp=sharing"",""ฉะเชิงเทรา!I530"")"),100)</f>
        <v>100</v>
      </c>
      <c r="J635" s="504">
        <f ca="1">IFERROR(__xludf.DUMMYFUNCTION("IMPORTRANGE(""https://docs.google.com/spreadsheets/d/1SX6NBoVAgQJ6U1MVXOaj8PK2l7WJ3RER9xtqwdhxkhw/edit?usp=sharing"",""ฉะเชิงเทรา!J530"")"),62)</f>
        <v>62</v>
      </c>
      <c r="K635" s="486">
        <f t="shared" ca="1" si="129"/>
        <v>62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61080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61080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61080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IFERROR(__xludf.DUMMYFUNCTION("IMPORTRANGE(""https://docs.google.com/spreadsheets/d/1SX6NBoVAgQJ6U1MVXOaj8PK2l7WJ3RER9xtqwdhxkhw/edit#gid=346597447"",""ฉะเชิงเทรา!J541"")"),0)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IFERROR(__xludf.DUMMYFUNCTION("IMPORTRANGE(""https://docs.google.com/spreadsheets/d/1SX6NBoVAgQJ6U1MVXOaj8PK2l7WJ3RER9xtqwdhxkhw/edit#gid=346597447"",""ฉะเชิงเทรา!J542"")"),0)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IFERROR(__xludf.DUMMYFUNCTION("IMPORTRANGE(""https://docs.google.com/spreadsheets/d/1SX6NBoVAgQJ6U1MVXOaj8PK2l7WJ3RER9xtqwdhxkhw/edit#gid=346597447"",""ฉะเชิงเทรา!I543"")"),0)</f>
        <v>0</v>
      </c>
      <c r="J648" s="536">
        <f ca="1">IFERROR(__xludf.DUMMYFUNCTION("IMPORTRANGE(""https://docs.google.com/spreadsheets/d/1SX6NBoVAgQJ6U1MVXOaj8PK2l7WJ3RER9xtqwdhxkhw/edit#gid=346597447"",""ฉะเชิงเทรา!J543"")"),0)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IFERROR(__xludf.DUMMYFUNCTION("IMPORTRANGE(""https://docs.google.com/spreadsheets/d/1SX6NBoVAgQJ6U1MVXOaj8PK2l7WJ3RER9xtqwdhxkhw/edit#gid=346597447"",""ฉะเชิงเทรา!L543"")"),0)</f>
        <v>0</v>
      </c>
      <c r="M648" s="521"/>
      <c r="N648" s="538">
        <f ca="1">IFERROR(__xludf.DUMMYFUNCTION("IMPORTRANGE(""https://docs.google.com/spreadsheets/d/1SX6NBoVAgQJ6U1MVXOaj8PK2l7WJ3RER9xtqwdhxkhw/edit#gid=346597447"",""ฉะเชิงเทรา!M543"")"),0)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IFERROR(__xludf.DUMMYFUNCTION("IMPORTRANGE(""https://docs.google.com/spreadsheets/d/1SX6NBoVAgQJ6U1MVXOaj8PK2l7WJ3RER9xtqwdhxkhw/edit#gid=346597447"",""ฉะเชิงเทรา!I544"")"),20)</f>
        <v>20</v>
      </c>
      <c r="J649" s="536">
        <f ca="1">IFERROR(__xludf.DUMMYFUNCTION("IMPORTRANGE(""https://docs.google.com/spreadsheets/d/1SX6NBoVAgQJ6U1MVXOaj8PK2l7WJ3RER9xtqwdhxkhw/edit#gid=346597447"",""ฉะเชิงเทรา!J544"")"),0)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IFERROR(__xludf.DUMMYFUNCTION("IMPORTRANGE(""https://docs.google.com/spreadsheets/d/1SX6NBoVAgQJ6U1MVXOaj8PK2l7WJ3RER9xtqwdhxkhw/edit#gid=346597447"",""ฉะเชิงเทรา!L544"")"),2400)</f>
        <v>2400</v>
      </c>
      <c r="M649" s="521"/>
      <c r="N649" s="538">
        <f ca="1">IFERROR(__xludf.DUMMYFUNCTION("IMPORTRANGE(""https://docs.google.com/spreadsheets/d/1SX6NBoVAgQJ6U1MVXOaj8PK2l7WJ3RER9xtqwdhxkhw/edit#gid=346597447"",""ฉะเชิงเทรา!M544"")"),0)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IFERROR(__xludf.DUMMYFUNCTION("IMPORTRANGE(""https://docs.google.com/spreadsheets/d/1SX6NBoVAgQJ6U1MVXOaj8PK2l7WJ3RER9xtqwdhxkhw/edit#gid=346597447"",""ฉะเชิงเทรา!I545"")"),698)</f>
        <v>698</v>
      </c>
      <c r="J650" s="536">
        <f ca="1">IFERROR(__xludf.DUMMYFUNCTION("IMPORTRANGE(""https://docs.google.com/spreadsheets/d/1SX6NBoVAgQJ6U1MVXOaj8PK2l7WJ3RER9xtqwdhxkhw/edit#gid=346597447"",""ฉะเชิงเทรา!J545"")"),0)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IFERROR(__xludf.DUMMYFUNCTION("IMPORTRANGE(""https://docs.google.com/spreadsheets/d/1SX6NBoVAgQJ6U1MVXOaj8PK2l7WJ3RER9xtqwdhxkhw/edit#gid=346597447"",""ฉะเชิงเทรา!L545"")"),3490)</f>
        <v>3490</v>
      </c>
      <c r="M650" s="521"/>
      <c r="N650" s="538">
        <f ca="1">IFERROR(__xludf.DUMMYFUNCTION("IMPORTRANGE(""https://docs.google.com/spreadsheets/d/1SX6NBoVAgQJ6U1MVXOaj8PK2l7WJ3RER9xtqwdhxkhw/edit#gid=346597447"",""ฉะเชิงเทรา!M545"")"),0)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IFERROR(__xludf.DUMMYFUNCTION("IMPORTRANGE(""https://docs.google.com/spreadsheets/d/1SX6NBoVAgQJ6U1MVXOaj8PK2l7WJ3RER9xtqwdhxkhw/edit#gid=346597447"",""ฉะเชิงเทรา!I546"")"),150)</f>
        <v>150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IFERROR(__xludf.DUMMYFUNCTION("IMPORTRANGE(""https://docs.google.com/spreadsheets/d/1SX6NBoVAgQJ6U1MVXOaj8PK2l7WJ3RER9xtqwdhxkhw/edit#gid=346597447"",""ฉะเชิงเทรา!L546"")"),3750)</f>
        <v>3750</v>
      </c>
      <c r="M651" s="521"/>
      <c r="N651" s="560"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IFERROR(__xludf.DUMMYFUNCTION("IMPORTRANGE(""https://docs.google.com/spreadsheets/d/1SX6NBoVAgQJ6U1MVXOaj8PK2l7WJ3RER9xtqwdhxkhw/edit#gid=346597447"",""ฉะเชิงเทรา!J547"")"),0)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IFERROR(__xludf.DUMMYFUNCTION("IMPORTRANGE(""https://docs.google.com/spreadsheets/d/1SX6NBoVAgQJ6U1MVXOaj8PK2l7WJ3RER9xtqwdhxkhw/edit#gid=346597447"",""ฉะเชิงเทรา!J548"")"),0)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IFERROR(__xludf.DUMMYFUNCTION("IMPORTRANGE(""https://docs.google.com/spreadsheets/d/1SX6NBoVAgQJ6U1MVXOaj8PK2l7WJ3RER9xtqwdhxkhw/edit#gid=346597447"",""ฉะเชิงเทรา!J550"")"),0)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IFERROR(__xludf.DUMMYFUNCTION("IMPORTRANGE(""https://docs.google.com/spreadsheets/d/1SX6NBoVAgQJ6U1MVXOaj8PK2l7WJ3RER9xtqwdhxkhw/edit#gid=346597447"",""ฉะเชิงเทรา!J551"")"),0)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IFERROR(__xludf.DUMMYFUNCTION("IMPORTRANGE(""https://docs.google.com/spreadsheets/d/1SX6NBoVAgQJ6U1MVXOaj8PK2l7WJ3RER9xtqwdhxkhw/edit#gid=346597447"",""ฉะเชิงเทรา!J552"")"),0)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IFERROR(__xludf.DUMMYFUNCTION("IMPORTRANGE(""https://docs.google.com/spreadsheets/d/1SX6NBoVAgQJ6U1MVXOaj8PK2l7WJ3RER9xtqwdhxkhw/edit#gid=346597447"",""ฉะเชิงเทรา!J553"")"),0)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IFERROR(__xludf.DUMMYFUNCTION("IMPORTRANGE(""https://docs.google.com/spreadsheets/d/1SX6NBoVAgQJ6U1MVXOaj8PK2l7WJ3RER9xtqwdhxkhw/edit#gid=346597447"",""ฉะเชิงเทรา!J554"")"),0)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IFERROR(__xludf.DUMMYFUNCTION("IMPORTRANGE(""https://docs.google.com/spreadsheets/d/1SX6NBoVAgQJ6U1MVXOaj8PK2l7WJ3RER9xtqwdhxkhw/edit#gid=346597447"",""ฉะเชิงเทรา!J555"")"),0)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IFERROR(__xludf.DUMMYFUNCTION("IMPORTRANGE(""https://docs.google.com/spreadsheets/d/1SX6NBoVAgQJ6U1MVXOaj8PK2l7WJ3RER9xtqwdhxkhw/edit#gid=346597447"",""ฉะเชิงเทรา!J556"")"),0)</f>
        <v>0</v>
      </c>
      <c r="K661" s="537"/>
      <c r="L661" s="522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1"/>
      <c r="N661" s="538">
        <f ca="1">IFERROR(__xludf.DUMMYFUNCTION("IMPORTRANGE(""https://docs.google.com/spreadsheets/d/1SX6NBoVAgQJ6U1MVXOaj8PK2l7WJ3RER9xtqwdhxkhw/edit#gid=346597447"",""ฉะเชิงเทรา!M556"")"),0)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IFERROR(__xludf.DUMMYFUNCTION("IMPORTRANGE(""https://docs.google.com/spreadsheets/d/1SX6NBoVAgQJ6U1MVXOaj8PK2l7WJ3RER9xtqwdhxkhw/edit#gid=346597447"",""ฉะเชิงเทรา!J557"")"),0)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IFERROR(__xludf.DUMMYFUNCTION("IMPORTRANGE(""https://docs.google.com/spreadsheets/d/1SX6NBoVAgQJ6U1MVXOaj8PK2l7WJ3RER9xtqwdhxkhw/edit#gid=346597447"",""ฉะเชิงเทรา!I558"")"),762)</f>
        <v>762</v>
      </c>
      <c r="J663" s="536">
        <f ca="1">IFERROR(__xludf.DUMMYFUNCTION("IMPORTRANGE(""https://docs.google.com/spreadsheets/d/1SX6NBoVAgQJ6U1MVXOaj8PK2l7WJ3RER9xtqwdhxkhw/edit#gid=346597447"",""ฉะเชิงเทรา!J558"")"),0)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IFERROR(__xludf.DUMMYFUNCTION("IMPORTRANGE(""https://docs.google.com/spreadsheets/d/1SX6NBoVAgQJ6U1MVXOaj8PK2l7WJ3RER9xtqwdhxkhw/edit#gid=346597447"",""ฉะเชิงเทรา!I560"")"),32)</f>
        <v>32</v>
      </c>
      <c r="J665" s="536">
        <f ca="1">IFERROR(__xludf.DUMMYFUNCTION("IMPORTRANGE(""https://docs.google.com/spreadsheets/d/1SX6NBoVAgQJ6U1MVXOaj8PK2l7WJ3RER9xtqwdhxkhw/edit#gid=346597447"",""ฉะเชิงเทรา!J560"")"),0)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IFERROR(__xludf.DUMMYFUNCTION("IMPORTRANGE(""https://docs.google.com/spreadsheets/d/1SX6NBoVAgQJ6U1MVXOaj8PK2l7WJ3RER9xtqwdhxkhw/edit#gid=346597447"",""ฉะเชิงเทรา!L560"")"),3840)</f>
        <v>3840</v>
      </c>
      <c r="M665" s="521"/>
      <c r="N665" s="538">
        <f ca="1">IFERROR(__xludf.DUMMYFUNCTION("IMPORTRANGE(""https://docs.google.com/spreadsheets/d/1SX6NBoVAgQJ6U1MVXOaj8PK2l7WJ3RER9xtqwdhxkhw/edit#gid=346597447"",""ฉะเชิงเทรา!M560"")"),0)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IFERROR(__xludf.DUMMYFUNCTION("IMPORTRANGE(""https://docs.google.com/spreadsheets/d/1SX6NBoVAgQJ6U1MVXOaj8PK2l7WJ3RER9xtqwdhxkhw/edit#gid=346597447"",""ฉะเชิงเทรา!J561"")"),0)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IFERROR(__xludf.DUMMYFUNCTION("IMPORTRANGE(""https://docs.google.com/spreadsheets/d/1SX6NBoVAgQJ6U1MVXOaj8PK2l7WJ3RER9xtqwdhxkhw/edit#gid=346597447"",""ฉะเชิงเทรา!J562"")"),0)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IFERROR(__xludf.DUMMYFUNCTION("IMPORTRANGE(""https://docs.google.com/spreadsheets/d/1SX6NBoVAgQJ6U1MVXOaj8PK2l7WJ3RER9xtqwdhxkhw/edit#gid=346597447"",""ฉะเชิงเทรา!I563"")"),4)</f>
        <v>4</v>
      </c>
      <c r="J668" s="536">
        <f ca="1">IFERROR(__xludf.DUMMYFUNCTION("IMPORTRANGE(""https://docs.google.com/spreadsheets/d/1SX6NBoVAgQJ6U1MVXOaj8PK2l7WJ3RER9xtqwdhxkhw/edit#gid=346597447"",""ฉะเชิงเทรา!J563"")"),0)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IFERROR(__xludf.DUMMYFUNCTION("IMPORTRANGE(""https://docs.google.com/spreadsheets/d/1SX6NBoVAgQJ6U1MVXOaj8PK2l7WJ3RER9xtqwdhxkhw/edit#gid=346597447"",""ฉะเชิงเทรา!L563"")"),6240)</f>
        <v>6240</v>
      </c>
      <c r="M668" s="521"/>
      <c r="N668" s="538">
        <f ca="1">IFERROR(__xludf.DUMMYFUNCTION("IMPORTRANGE(""https://docs.google.com/spreadsheets/d/1SX6NBoVAgQJ6U1MVXOaj8PK2l7WJ3RER9xtqwdhxkhw/edit#gid=346597447"",""ฉะเชิงเทรา!M563"")"),0)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IFERROR(__xludf.DUMMYFUNCTION("IMPORTRANGE(""https://docs.google.com/spreadsheets/d/1SX6NBoVAgQJ6U1MVXOaj8PK2l7WJ3RER9xtqwdhxkhw/edit#gid=346597447"",""ฉะเชิงเทรา!J564"")"),0)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IFERROR(__xludf.DUMMYFUNCTION("IMPORTRANGE(""https://docs.google.com/spreadsheets/d/1SX6NBoVAgQJ6U1MVXOaj8PK2l7WJ3RER9xtqwdhxkhw/edit#gid=346597447"",""ฉะเชิงเทรา!J565"")"),0)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IFERROR(__xludf.DUMMYFUNCTION("IMPORTRANGE(""https://docs.google.com/spreadsheets/d/1SX6NBoVAgQJ6U1MVXOaj8PK2l7WJ3RER9xtqwdhxkhw/edit#gid=346597447"",""ฉะเชิงเทรา!I566"")"),136)</f>
        <v>136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1"/>
      <c r="N671" s="538">
        <f ca="1">IFERROR(__xludf.DUMMYFUNCTION("IMPORTRANGE(""https://docs.google.com/spreadsheets/d/1SX6NBoVAgQJ6U1MVXOaj8PK2l7WJ3RER9xtqwdhxkhw/edit#gid=346597447"",""ฉะเชิงเทรา!M566"")"),0)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IFERROR(__xludf.DUMMYFUNCTION("IMPORTRANGE(""https://docs.google.com/spreadsheets/d/1SX6NBoVAgQJ6U1MVXOaj8PK2l7WJ3RER9xtqwdhxkhw/edit#gid=346597447"",""ฉะเชิงเทรา!J567"")"),0)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IFERROR(__xludf.DUMMYFUNCTION("IMPORTRANGE(""https://docs.google.com/spreadsheets/d/1SX6NBoVAgQJ6U1MVXOaj8PK2l7WJ3RER9xtqwdhxkhw/edit#gid=346597447"",""ฉะเชิงเทรา!J568"")"),0)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IFERROR(__xludf.DUMMYFUNCTION("IMPORTRANGE(""https://docs.google.com/spreadsheets/d/1SX6NBoVAgQJ6U1MVXOaj8PK2l7WJ3RER9xtqwdhxkhw/edit#gid=346597447"",""ฉะเชิงเทรา!J569"")"),0)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IFERROR(__xludf.DUMMYFUNCTION("IMPORTRANGE(""https://docs.google.com/spreadsheets/d/1SX6NBoVAgQJ6U1MVXOaj8PK2l7WJ3RER9xtqwdhxkhw/edit#gid=346597447"",""ฉะเชิงเทรา!J570"")"),0)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IFERROR(__xludf.DUMMYFUNCTION("IMPORTRANGE(""https://docs.google.com/spreadsheets/d/1SX6NBoVAgQJ6U1MVXOaj8PK2l7WJ3RER9xtqwdhxkhw/edit#gid=346597447"",""ฉะเชิงเทรา!J571"")"),0)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IFERROR(__xludf.DUMMYFUNCTION("IMPORTRANGE(""https://docs.google.com/spreadsheets/d/1SX6NBoVAgQJ6U1MVXOaj8PK2l7WJ3RER9xtqwdhxkhw/edit#gid=346597447"",""ฉะเชิงเทรา!J572"")"),0)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5425995</v>
      </c>
      <c r="M8" s="23">
        <f t="shared" ca="1" si="0"/>
        <v>3144698.74</v>
      </c>
      <c r="N8" s="23">
        <f t="shared" ca="1" si="0"/>
        <v>2792965.99</v>
      </c>
      <c r="O8" s="22">
        <f t="shared" ref="O8:O16" ca="1" si="1">IF(L8&gt;0,N8*100/L8,0)</f>
        <v>51.473803237931477</v>
      </c>
      <c r="P8" s="22">
        <f t="shared" ref="P8:P16" ca="1" si="2">IF(M8&gt;0,N8*100/M8,0)</f>
        <v>88.815057368579602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5425995</v>
      </c>
      <c r="M10" s="30">
        <f t="shared" ca="1" si="4"/>
        <v>3144698.74</v>
      </c>
      <c r="N10" s="30">
        <f t="shared" ca="1" si="4"/>
        <v>2792965.99</v>
      </c>
      <c r="O10" s="29">
        <f t="shared" ca="1" si="1"/>
        <v>51.473803237931477</v>
      </c>
      <c r="P10" s="29">
        <f t="shared" ca="1" si="2"/>
        <v>88.815057368579602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4939595</v>
      </c>
      <c r="M12" s="38">
        <f t="shared" ca="1" si="6"/>
        <v>2658298.7400000002</v>
      </c>
      <c r="N12" s="38">
        <f t="shared" ca="1" si="6"/>
        <v>2306565.9900000002</v>
      </c>
      <c r="O12" s="38">
        <f t="shared" ca="1" si="1"/>
        <v>46.695447501262763</v>
      </c>
      <c r="P12" s="38">
        <f t="shared" ca="1" si="2"/>
        <v>86.768501797506786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3073495</v>
      </c>
      <c r="M14" s="38">
        <f t="shared" si="8"/>
        <v>0</v>
      </c>
      <c r="N14" s="38">
        <f t="shared" ca="1" si="8"/>
        <v>344903.74</v>
      </c>
      <c r="O14" s="38">
        <f t="shared" ca="1" si="1"/>
        <v>11.221874120504507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486400</v>
      </c>
      <c r="M16" s="38">
        <f t="shared" ca="1" si="10"/>
        <v>486400</v>
      </c>
      <c r="N16" s="38">
        <f t="shared" ca="1" si="10"/>
        <v>486400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3802960</v>
      </c>
      <c r="M18" s="23">
        <f t="shared" ca="1" si="11"/>
        <v>3144698.74</v>
      </c>
      <c r="N18" s="23">
        <f t="shared" ca="1" si="11"/>
        <v>2448062.25</v>
      </c>
      <c r="O18" s="22">
        <f t="shared" ref="O18:O20" ca="1" si="12">IF(L18&gt;0,N18*100/L18,0)</f>
        <v>64.372547962639629</v>
      </c>
      <c r="P18" s="22">
        <f t="shared" ref="P18:P26" ca="1" si="13">IF(M18&gt;0,N18*100/M18,0)</f>
        <v>77.847274171642908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3802960</v>
      </c>
      <c r="M20" s="30">
        <f t="shared" ca="1" si="15"/>
        <v>3144698.74</v>
      </c>
      <c r="N20" s="30">
        <f t="shared" ca="1" si="15"/>
        <v>2448062.25</v>
      </c>
      <c r="O20" s="29">
        <f t="shared" ca="1" si="12"/>
        <v>64.372547962639629</v>
      </c>
      <c r="P20" s="29">
        <f t="shared" ca="1" si="13"/>
        <v>77.847274171642908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3316560</v>
      </c>
      <c r="M22" s="41">
        <f t="shared" ca="1" si="18"/>
        <v>2658298.7400000002</v>
      </c>
      <c r="N22" s="38">
        <f t="shared" ca="1" si="18"/>
        <v>1961662.25</v>
      </c>
      <c r="O22" s="38">
        <f t="shared" ca="1" si="17"/>
        <v>59.147497708469018</v>
      </c>
      <c r="P22" s="38">
        <f t="shared" ca="1" si="13"/>
        <v>73.793897596325081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486400</v>
      </c>
      <c r="M26" s="49">
        <f t="shared" ca="1" si="22"/>
        <v>486400</v>
      </c>
      <c r="N26" s="49">
        <f t="shared" ca="1" si="22"/>
        <v>486400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1623035</v>
      </c>
      <c r="M28" s="23">
        <f t="shared" si="23"/>
        <v>0</v>
      </c>
      <c r="N28" s="23">
        <f t="shared" ca="1" si="23"/>
        <v>344903.74</v>
      </c>
      <c r="O28" s="22">
        <f t="shared" ref="O28:O30" ca="1" si="24">IF(L28&gt;0,N28*100/L28,0)</f>
        <v>21.250542348131741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1623035</v>
      </c>
      <c r="M30" s="30">
        <f t="shared" si="27"/>
        <v>0</v>
      </c>
      <c r="N30" s="30">
        <f t="shared" ca="1" si="27"/>
        <v>344903.74</v>
      </c>
      <c r="O30" s="29">
        <f t="shared" ca="1" si="24"/>
        <v>21.250542348131741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1623035</v>
      </c>
      <c r="M32" s="38">
        <f t="shared" si="30"/>
        <v>0</v>
      </c>
      <c r="N32" s="38">
        <f t="shared" ca="1" si="30"/>
        <v>344903.74</v>
      </c>
      <c r="O32" s="38">
        <f t="shared" ca="1" si="29"/>
        <v>21.250542348131741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1623035</v>
      </c>
      <c r="M34" s="38">
        <f t="shared" si="32"/>
        <v>0</v>
      </c>
      <c r="N34" s="38">
        <f t="shared" ca="1" si="32"/>
        <v>344903.74</v>
      </c>
      <c r="O34" s="38">
        <f t="shared" ca="1" si="29"/>
        <v>21.250542348131741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3802960</v>
      </c>
      <c r="M37" s="54">
        <f t="shared" ca="1" si="33"/>
        <v>3144698.74</v>
      </c>
      <c r="N37" s="54">
        <f t="shared" ca="1" si="33"/>
        <v>2448062.25</v>
      </c>
      <c r="O37" s="55">
        <f t="shared" ca="1" si="29"/>
        <v>64.372547962639629</v>
      </c>
      <c r="P37" s="55">
        <f t="shared" ca="1" si="25"/>
        <v>77.847274171642908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1071100</v>
      </c>
      <c r="M41" s="78">
        <f t="shared" ca="1" si="34"/>
        <v>895100</v>
      </c>
      <c r="N41" s="78">
        <f t="shared" ca="1" si="34"/>
        <v>856581.08000000007</v>
      </c>
      <c r="O41" s="77">
        <f t="shared" ref="O41:O43" ca="1" si="35">IF(L41&gt;0,N41*100/L41,0)</f>
        <v>79.972092241620757</v>
      </c>
      <c r="P41" s="77">
        <f t="shared" ref="P41:P43" ca="1" si="36">IF(M41&gt;0,N41*100/M41,0)</f>
        <v>95.696690872528208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1071100</v>
      </c>
      <c r="M43" s="78">
        <f t="shared" ca="1" si="38"/>
        <v>895100</v>
      </c>
      <c r="N43" s="78">
        <f t="shared" ca="1" si="38"/>
        <v>856581.08000000007</v>
      </c>
      <c r="O43" s="77">
        <f t="shared" ca="1" si="35"/>
        <v>79.972092241620757</v>
      </c>
      <c r="P43" s="77">
        <f t="shared" ca="1" si="36"/>
        <v>95.696690872528208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IFERROR(__xludf.DUMMYFUNCTION("IMPORTRANGE(""https://docs.google.com/spreadsheets/d/1Yj_ptqi66GCucihVvJfMjLAmec39IyEx_6qawtMGysU/edit?usp=sharing"",""สบก!Q62"")"),528100)</f>
        <v>528100</v>
      </c>
      <c r="N45" s="49">
        <f ca="1">IFERROR(__xludf.DUMMYFUNCTION("IMPORTRANGE(""https://docs.google.com/spreadsheets/d/1Yj_ptqi66GCucihVvJfMjLAmec39IyEx_6qawtMGysU/edit?usp=sharing"",""สบก!R62"")"),489581.08)</f>
        <v>489581.08</v>
      </c>
      <c r="O45" s="38">
        <f ca="1">IF(L45&gt;0,N45*100/L45,0)</f>
        <v>69.532890214458178</v>
      </c>
      <c r="P45" s="38">
        <f ca="1">IF(M45&gt;0,N45*100/M45,0)</f>
        <v>92.706131414504824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IFERROR(__xludf.DUMMYFUNCTION("IMPORTRANGE(""https://docs.google.com/spreadsheets/d/1Yj_ptqi66GCucihVvJfMjLAmec39IyEx_6qawtMGysU/edit?usp=sharing"",""สบก!O62"")"),367000)</f>
        <v>367000</v>
      </c>
      <c r="M49" s="49">
        <f ca="1">L49</f>
        <v>367000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434613.74</v>
      </c>
      <c r="N53" s="121">
        <f t="shared" ca="1" si="39"/>
        <v>360239.55</v>
      </c>
      <c r="O53" s="120">
        <f t="shared" ref="O53:O55" ca="1" si="40">IF(L53&gt;0,N53*100/L53,0)</f>
        <v>64.328491071428573</v>
      </c>
      <c r="P53" s="120">
        <f t="shared" ref="P53:P55" ca="1" si="41">IF(M53&gt;0,N53*100/M53,0)</f>
        <v>82.88728975756726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434613.74</v>
      </c>
      <c r="N55" s="121">
        <f t="shared" ca="1" si="43"/>
        <v>360239.55</v>
      </c>
      <c r="O55" s="120">
        <f t="shared" ca="1" si="40"/>
        <v>64.328491071428573</v>
      </c>
      <c r="P55" s="120">
        <f t="shared" ca="1" si="41"/>
        <v>82.88728975756726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IFERROR(__xludf.DUMMYFUNCTION("IMPORTRANGE(""https://docs.google.com/spreadsheets/d/1Yj_ptqi66GCucihVvJfMjLAmec39IyEx_6qawtMGysU/edit?usp=sharing"",""สบก!Z62"")"),434613.74)</f>
        <v>434613.74</v>
      </c>
      <c r="N57" s="49">
        <f ca="1">IFERROR(__xludf.DUMMYFUNCTION("IMPORTRANGE(""https://docs.google.com/spreadsheets/d/1Yj_ptqi66GCucihVvJfMjLAmec39IyEx_6qawtMGysU/edit?usp=sharing"",""สบก!AA62"")"),360239.55)</f>
        <v>360239.55</v>
      </c>
      <c r="O57" s="38">
        <f ca="1">IF(L57&gt;0,N57*100/L57,0)</f>
        <v>64.328491071428573</v>
      </c>
      <c r="P57" s="38">
        <f ca="1">IF(M57&gt;0,N57*100/M57,0)</f>
        <v>82.88728975756726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148419</v>
      </c>
      <c r="O94" s="151">
        <f t="shared" ref="O94:O96" ca="1" si="53">IF(L94&gt;0,N94*100/L94,0)</f>
        <v>69.193006993006989</v>
      </c>
      <c r="P94" s="151">
        <f t="shared" ref="P94:P96" ca="1" si="54">IF(M94&gt;0,N94*100/M94,0)</f>
        <v>76.325628037335122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148419</v>
      </c>
      <c r="O96" s="156">
        <f t="shared" ca="1" si="53"/>
        <v>69.193006993006989</v>
      </c>
      <c r="P96" s="156">
        <f t="shared" ca="1" si="54"/>
        <v>76.325628037335122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IFERROR(__xludf.DUMMYFUNCTION("IMPORTRANGE(""https://docs.google.com/spreadsheets/d/1Yj_ptqi66GCucihVvJfMjLAmec39IyEx_6qawtMGysU/edit?usp=sharing"",""สบก!AR62"")"),102055)</f>
        <v>102055</v>
      </c>
      <c r="N98" s="169">
        <f ca="1">IFERROR(__xludf.DUMMYFUNCTION("IMPORTRANGE(""https://docs.google.com/spreadsheets/d/1Yj_ptqi66GCucihVvJfMjLAmec39IyEx_6qawtMGysU/edit?usp=sharing"",""สบก!AS62"")"),56019)</f>
        <v>56019</v>
      </c>
      <c r="O98" s="169">
        <f ca="1">IF(L98&gt;0,N98*100/L98,0)</f>
        <v>45.879606879606882</v>
      </c>
      <c r="P98" s="169">
        <f ca="1">IF(M98&gt;0,N98*100/M98,0)</f>
        <v>54.890990152368822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IFERROR(__xludf.DUMMYFUNCTION("IMPORTRANGE(""https://docs.google.com/spreadsheets/d/1SX6NBoVAgQJ6U1MVXOaj8PK2l7WJ3RER9xtqwdhxkhw/edit?usp=sharing"",""ชลบุรี!J50"")"),0)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29134</v>
      </c>
      <c r="O118" s="151">
        <f t="shared" ref="O118:O120" ca="1" si="59">IF(L118&gt;0,N118*100/L118,0)</f>
        <v>35.339640950994664</v>
      </c>
      <c r="P118" s="151">
        <f t="shared" ref="P118:P120" ca="1" si="60">IF(M118&gt;0,N118*100/M118,0)</f>
        <v>35.339640950994664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29134</v>
      </c>
      <c r="O120" s="156">
        <f t="shared" ca="1" si="59"/>
        <v>35.339640950994664</v>
      </c>
      <c r="P120" s="156">
        <f t="shared" ca="1" si="60"/>
        <v>35.339640950994664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IFERROR(__xludf.DUMMYFUNCTION("IMPORTRANGE(""https://docs.google.com/spreadsheets/d/1Yj_ptqi66GCucihVvJfMjLAmec39IyEx_6qawtMGysU/edit?usp=sharing"",""สบก!BA62"")"),82440)</f>
        <v>82440</v>
      </c>
      <c r="N122" s="169">
        <f ca="1">IFERROR(__xludf.DUMMYFUNCTION("IMPORTRANGE(""https://docs.google.com/spreadsheets/d/1Yj_ptqi66GCucihVvJfMjLAmec39IyEx_6qawtMGysU/edit?usp=sharing"",""สบก!BB62"")"),29134)</f>
        <v>29134</v>
      </c>
      <c r="O122" s="169">
        <f ca="1">IF(L122&gt;0,N122*100/L122,0)</f>
        <v>35.339640950994664</v>
      </c>
      <c r="P122" s="169">
        <f ca="1">IF(M122&gt;0,N122*100/M122,0)</f>
        <v>35.339640950994664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IFERROR(__xludf.DUMMYFUNCTION("IMPORTRANGE(""https://docs.google.com/spreadsheets/d/1Yj_ptqi66GCucihVvJfMjLAmec39IyEx_6qawtMGysU/edit?usp=sharing"",""สบก!AX62"")"),82440)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IFERROR(__xludf.DUMMYFUNCTION("IMPORTRANGE(""https://docs.google.com/spreadsheets/d/1SX6NBoVAgQJ6U1MVXOaj8PK2l7WJ3RER9xtqwdhxkhw/edit?usp=sharing"",""ชลบุรี!J65"")"),0)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IFERROR(__xludf.DUMMYFUNCTION("IMPORTRANGE(""https://docs.google.com/spreadsheets/d/1SX6NBoVAgQJ6U1MVXOaj8PK2l7WJ3RER9xtqwdhxkhw/edit?usp=sharing"",""ชลบุรี!I68"")"),55)</f>
        <v>55</v>
      </c>
      <c r="J138" s="267">
        <f ca="1">IFERROR(__xludf.DUMMYFUNCTION("IMPORTRANGE(""https://docs.google.com/spreadsheets/d/1SX6NBoVAgQJ6U1MVXOaj8PK2l7WJ3RER9xtqwdhxkhw/edit?usp=sharing"",""ชลบุรี!J68"")"),55)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323600</v>
      </c>
      <c r="M140" s="152">
        <f t="shared" ca="1" si="64"/>
        <v>273890</v>
      </c>
      <c r="N140" s="152">
        <f t="shared" ca="1" si="64"/>
        <v>150381.48000000001</v>
      </c>
      <c r="O140" s="151">
        <f t="shared" ref="O140:O142" ca="1" si="65">IF(L140&gt;0,N140*100/L140,0)</f>
        <v>46.471409147095187</v>
      </c>
      <c r="P140" s="151">
        <f t="shared" ref="P140:P142" ca="1" si="66">IF(M140&gt;0,N140*100/M140,0)</f>
        <v>54.905794296980545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323600</v>
      </c>
      <c r="M142" s="157">
        <f t="shared" ca="1" si="68"/>
        <v>273890</v>
      </c>
      <c r="N142" s="157">
        <f t="shared" ca="1" si="68"/>
        <v>150381.48000000001</v>
      </c>
      <c r="O142" s="156">
        <f t="shared" ca="1" si="65"/>
        <v>46.471409147095187</v>
      </c>
      <c r="P142" s="156">
        <f t="shared" ca="1" si="66"/>
        <v>54.905794296980545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323600</v>
      </c>
      <c r="M144" s="168">
        <f ca="1">IFERROR(__xludf.DUMMYFUNCTION("IMPORTRANGE(""https://docs.google.com/spreadsheets/d/1Yj_ptqi66GCucihVvJfMjLAmec39IyEx_6qawtMGysU/edit?usp=sharing"",""สบก!BJ62"")"),273890)</f>
        <v>273890</v>
      </c>
      <c r="N144" s="169">
        <f ca="1">IFERROR(__xludf.DUMMYFUNCTION("IMPORTRANGE(""https://docs.google.com/spreadsheets/d/1Yj_ptqi66GCucihVvJfMjLAmec39IyEx_6qawtMGysU/edit?usp=sharing"",""สบก!BK62"")"),150381.48)</f>
        <v>150381.48000000001</v>
      </c>
      <c r="O144" s="169">
        <f ca="1">IF(L144&gt;0,N144*100/L144,0)</f>
        <v>46.471409147095187</v>
      </c>
      <c r="P144" s="169">
        <f ca="1">IF(M144&gt;0,N144*100/M144,0)</f>
        <v>54.905794296980545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IFERROR(__xludf.DUMMYFUNCTION("IMPORTRANGE(""https://docs.google.com/spreadsheets/d/1Yj_ptqi66GCucihVvJfMjLAmec39IyEx_6qawtMGysU/edit?usp=sharing"",""สบก!BG62"")"),191600)</f>
        <v>191600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IFERROR(__xludf.DUMMYFUNCTION("IMPORTRANGE(""https://docs.google.com/spreadsheets/d/1SX6NBoVAgQJ6U1MVXOaj8PK2l7WJ3RER9xtqwdhxkhw/edit?usp=sharing"",""ชลบุรี!I74"")"),4)</f>
        <v>4</v>
      </c>
      <c r="J149" s="275">
        <f ca="1">IFERROR(__xludf.DUMMYFUNCTION("IMPORTRANGE(""https://docs.google.com/spreadsheets/d/1SX6NBoVAgQJ6U1MVXOaj8PK2l7WJ3RER9xtqwdhxkhw/edit?usp=sharing"",""ชลบุรี!J74"")"),2)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IFERROR(__xludf.DUMMYFUNCTION("IMPORTRANGE(""https://docs.google.com/spreadsheets/d/1SX6NBoVAgQJ6U1MVXOaj8PK2l7WJ3RER9xtqwdhxkhw/edit?usp=sharing"",""ชลบุรี!J88"")"),0)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IFERROR(__xludf.DUMMYFUNCTION("IMPORTRANGE(""https://docs.google.com/spreadsheets/d/1SX6NBoVAgQJ6U1MVXOaj8PK2l7WJ3RER9xtqwdhxkhw/edit?usp=sharing"",""ชลบุรี!I89"")"),4)</f>
        <v>4</v>
      </c>
      <c r="J164" s="284">
        <f ca="1">IFERROR(__xludf.DUMMYFUNCTION("IMPORTRANGE(""https://docs.google.com/spreadsheets/d/1SX6NBoVAgQJ6U1MVXOaj8PK2l7WJ3RER9xtqwdhxkhw/edit?usp=sharing"",""ชลบุรี!J89"")"),1)</f>
        <v>1</v>
      </c>
      <c r="K164" s="285">
        <f ca="1">IF(I164&gt;0,J164*100/I164,0)</f>
        <v>25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IFERROR(__xludf.DUMMYFUNCTION("IMPORTRANGE(""https://docs.google.com/spreadsheets/d/1SX6NBoVAgQJ6U1MVXOaj8PK2l7WJ3RER9xtqwdhxkhw/edit?usp=sharing"",""ชลบุรี!J98"")"),1)</f>
        <v>1</v>
      </c>
      <c r="K173" s="163">
        <f ca="1">IF(I173&gt;0,J173*100/I173,0)</f>
        <v>25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IFERROR(__xludf.DUMMYFUNCTION("IMPORTRANGE(""https://docs.google.com/spreadsheets/d/1SX6NBoVAgQJ6U1MVXOaj8PK2l7WJ3RER9xtqwdhxkhw/edit?usp=sharing"",""ชลบุรี!J100"")"),0)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IFERROR(__xludf.DUMMYFUNCTION("IMPORTRANGE(""https://docs.google.com/spreadsheets/d/1SX6NBoVAgQJ6U1MVXOaj8PK2l7WJ3RER9xtqwdhxkhw/edit?usp=sharing"",""ชลบุรี!I101"")"),0)</f>
        <v>0</v>
      </c>
      <c r="J176" s="284">
        <f ca="1">IFERROR(__xludf.DUMMYFUNCTION("IMPORTRANGE(""https://docs.google.com/spreadsheets/d/1SX6NBoVAgQJ6U1MVXOaj8PK2l7WJ3RER9xtqwdhxkhw/edit?usp=sharing"",""ชลบุรี!J101"")"),0)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IFERROR(__xludf.DUMMYFUNCTION("IMPORTRANGE(""https://docs.google.com/spreadsheets/d/1SX6NBoVAgQJ6U1MVXOaj8PK2l7WJ3RER9xtqwdhxkhw/edit?usp=sharing"",""ชลบุรี!J113"")"),0)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IFERROR(__xludf.DUMMYFUNCTION("IMPORTRANGE(""https://docs.google.com/spreadsheets/d/1SX6NBoVAgQJ6U1MVXOaj8PK2l7WJ3RER9xtqwdhxkhw/edit?usp=sharing"",""ชลบุรี!I114"")"),5000)</f>
        <v>5000</v>
      </c>
      <c r="J189" s="284">
        <f ca="1">IFERROR(__xludf.DUMMYFUNCTION("IMPORTRANGE(""https://docs.google.com/spreadsheets/d/1SX6NBoVAgQJ6U1MVXOaj8PK2l7WJ3RER9xtqwdhxkhw/edit?usp=sharing"",""ชลบุรี!J114"")"),0)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IFERROR(__xludf.DUMMYFUNCTION("IMPORTRANGE(""https://docs.google.com/spreadsheets/d/1SX6NBoVAgQJ6U1MVXOaj8PK2l7WJ3RER9xtqwdhxkhw/edit?usp=sharing"",""ชลบุรี!J128"")"),0)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IFERROR(__xludf.DUMMYFUNCTION("IMPORTRANGE(""https://docs.google.com/spreadsheets/d/1SX6NBoVAgQJ6U1MVXOaj8PK2l7WJ3RER9xtqwdhxkhw/edit?usp=sharing"",""ชลบุรี!I129"")"),40)</f>
        <v>40</v>
      </c>
      <c r="J204" s="284">
        <f ca="1">IFERROR(__xludf.DUMMYFUNCTION("IMPORTRANGE(""https://docs.google.com/spreadsheets/d/1SX6NBoVAgQJ6U1MVXOaj8PK2l7WJ3RER9xtqwdhxkhw/edit?usp=sharing"",""ชลบุรี!J129"")"),40)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IFERROR(__xludf.DUMMYFUNCTION("IMPORTRANGE(""https://docs.google.com/spreadsheets/d/1SX6NBoVAgQJ6U1MVXOaj8PK2l7WJ3RER9xtqwdhxkhw/edit?usp=sharing"",""ชลบุรี!J143"")"),0)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IFERROR(__xludf.DUMMYFUNCTION("IMPORTRANGE(""https://docs.google.com/spreadsheets/d/1SX6NBoVAgQJ6U1MVXOaj8PK2l7WJ3RER9xtqwdhxkhw/edit?usp=sharing"",""ชลบุรี!I144"")"),0)</f>
        <v>0</v>
      </c>
      <c r="J219" s="267">
        <f ca="1">IFERROR(__xludf.DUMMYFUNCTION("IMPORTRANGE(""https://docs.google.com/spreadsheets/d/1SX6NBoVAgQJ6U1MVXOaj8PK2l7WJ3RER9xtqwdhxkhw/edit?usp=sharing"",""ชลบุรี!J144"")"),0)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IFERROR(__xludf.DUMMYFUNCTION("IMPORTRANGE(""https://docs.google.com/spreadsheets/d/1Yj_ptqi66GCucihVvJfMjLAmec39IyEx_6qawtMGysU/edit?usp=sharing"",""สบก!BS62"")"),0)</f>
        <v>0</v>
      </c>
      <c r="N224" s="169">
        <f ca="1">IFERROR(__xludf.DUMMYFUNCTION("IMPORTRANGE(""https://docs.google.com/spreadsheets/d/1Yj_ptqi66GCucihVvJfMjLAmec39IyEx_6qawtMGysU/edit?usp=sharing"",""สบก!BT62"")"),0)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IFERROR(__xludf.DUMMYFUNCTION("IMPORTRANGE(""https://docs.google.com/spreadsheets/d/1SX6NBoVAgQJ6U1MVXOaj8PK2l7WJ3RER9xtqwdhxkhw/edit?usp=sharing"",""ชลบุรี!I149"")"),0)</f>
        <v>0</v>
      </c>
      <c r="J229" s="267">
        <f ca="1">IFERROR(__xludf.DUMMYFUNCTION("IMPORTRANGE(""https://docs.google.com/spreadsheets/d/1SX6NBoVAgQJ6U1MVXOaj8PK2l7WJ3RER9xtqwdhxkhw/edit?usp=sharing"",""ชลบุรี!J149"")"),0)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IFERROR(__xludf.DUMMYFUNCTION("IMPORTRANGE(""https://docs.google.com/spreadsheets/d/1SX6NBoVAgQJ6U1MVXOaj8PK2l7WJ3RER9xtqwdhxkhw/edit?usp=sharing"",""ชลบุรี!I158"")"),0)</f>
        <v>0</v>
      </c>
      <c r="J238" s="267">
        <f ca="1">IFERROR(__xludf.DUMMYFUNCTION("IMPORTRANGE(""https://docs.google.com/spreadsheets/d/1SX6NBoVAgQJ6U1MVXOaj8PK2l7WJ3RER9xtqwdhxkhw/edit?usp=sharing"",""ชลบุรี!J158"")"),0)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IFERROR(__xludf.DUMMYFUNCTION("IMPORTRANGE(""https://docs.google.com/spreadsheets/d/1SX6NBoVAgQJ6U1MVXOaj8PK2l7WJ3RER9xtqwdhxkhw/edit?usp=sharing"",""ชลบุรี!J166"")"),0)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IFERROR(__xludf.DUMMYFUNCTION("IMPORTRANGE(""https://docs.google.com/spreadsheets/d/1SX6NBoVAgQJ6U1MVXOaj8PK2l7WJ3RER9xtqwdhxkhw/edit?usp=sharing"",""ชลบุรี!I169"")"),0)</f>
        <v>0</v>
      </c>
      <c r="J249" s="316">
        <f ca="1">IFERROR(__xludf.DUMMYFUNCTION("IMPORTRANGE(""https://docs.google.com/spreadsheets/d/1SX6NBoVAgQJ6U1MVXOaj8PK2l7WJ3RER9xtqwdhxkhw/edit?usp=sharing"",""ชลบุรี!J169"")"),0)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IFERROR(__xludf.DUMMYFUNCTION("IMPORTRANGE(""https://docs.google.com/spreadsheets/d/1SX6NBoVAgQJ6U1MVXOaj8PK2l7WJ3RER9xtqwdhxkhw/edit?usp=sharing"",""ชลบุรี!J184"")"),0)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IFERROR(__xludf.DUMMYFUNCTION("IMPORTRANGE(""https://docs.google.com/spreadsheets/d/1SX6NBoVAgQJ6U1MVXOaj8PK2l7WJ3RER9xtqwdhxkhw/edit?usp=sharing"",""ชลบุรี!I185"")"),15)</f>
        <v>15</v>
      </c>
      <c r="J270" s="316">
        <f ca="1">IFERROR(__xludf.DUMMYFUNCTION("IMPORTRANGE(""https://docs.google.com/spreadsheets/d/1SX6NBoVAgQJ6U1MVXOaj8PK2l7WJ3RER9xtqwdhxkhw/edit?usp=sharing"",""ชลบุรี!J185"")"),15)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26110</v>
      </c>
      <c r="O271" s="151">
        <f t="shared" ref="O271:O273" ca="1" si="84">IF(L271&gt;0,N271*100/L271,0)</f>
        <v>47.300724637681157</v>
      </c>
      <c r="P271" s="151">
        <f t="shared" ref="P271:P273" ca="1" si="85">IF(M271&gt;0,N271*100/M271,0)</f>
        <v>80.961240310077514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26110</v>
      </c>
      <c r="O273" s="156">
        <f t="shared" ca="1" si="84"/>
        <v>47.300724637681157</v>
      </c>
      <c r="P273" s="156">
        <f t="shared" ca="1" si="85"/>
        <v>80.961240310077514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IFERROR(__xludf.DUMMYFUNCTION("IMPORTRANGE(""https://docs.google.com/spreadsheets/d/1Yj_ptqi66GCucihVvJfMjLAmec39IyEx_6qawtMGysU/edit?usp=sharing"",""สบก!CK62"")"),32250)</f>
        <v>32250</v>
      </c>
      <c r="N275" s="169">
        <f ca="1">IFERROR(__xludf.DUMMYFUNCTION("IMPORTRANGE(""https://docs.google.com/spreadsheets/d/1Yj_ptqi66GCucihVvJfMjLAmec39IyEx_6qawtMGysU/edit?usp=sharing"",""สบก!CL62"")"),26110)</f>
        <v>26110</v>
      </c>
      <c r="O275" s="169">
        <f ca="1">IF(L275&gt;0,N275*100/L275,0)</f>
        <v>47.300724637681157</v>
      </c>
      <c r="P275" s="169">
        <f ca="1">IF(M275&gt;0,N275*100/M275,0)</f>
        <v>80.961240310077514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IFERROR(__xludf.DUMMYFUNCTION("IMPORTRANGE(""https://docs.google.com/spreadsheets/d/1SX6NBoVAgQJ6U1MVXOaj8PK2l7WJ3RER9xtqwdhxkhw/edit?usp=sharing"",""ชลบุรี!I199"")"),30)</f>
        <v>30</v>
      </c>
      <c r="J289" s="316">
        <f ca="1">IFERROR(__xludf.DUMMYFUNCTION("IMPORTRANGE(""https://docs.google.com/spreadsheets/d/1SX6NBoVAgQJ6U1MVXOaj8PK2l7WJ3RER9xtqwdhxkhw/edit?usp=sharing"",""ชลบุรี!J199"")"),30)</f>
        <v>30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96320</v>
      </c>
      <c r="M290" s="152">
        <f t="shared" ca="1" si="88"/>
        <v>96320</v>
      </c>
      <c r="N290" s="152">
        <f t="shared" ca="1" si="88"/>
        <v>88840</v>
      </c>
      <c r="O290" s="151">
        <f t="shared" ref="O290:O292" ca="1" si="89">IF(L290&gt;0,N290*100/L290,0)</f>
        <v>92.234219269102994</v>
      </c>
      <c r="P290" s="151">
        <f t="shared" ref="P290:P292" ca="1" si="90">IF(M290&gt;0,N290*100/M290,0)</f>
        <v>92.234219269102994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96320</v>
      </c>
      <c r="M292" s="157">
        <f t="shared" ca="1" si="92"/>
        <v>96320</v>
      </c>
      <c r="N292" s="157">
        <f t="shared" ca="1" si="92"/>
        <v>88840</v>
      </c>
      <c r="O292" s="156">
        <f t="shared" ca="1" si="89"/>
        <v>92.234219269102994</v>
      </c>
      <c r="P292" s="156">
        <f t="shared" ca="1" si="90"/>
        <v>92.234219269102994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96320</v>
      </c>
      <c r="M294" s="168">
        <f ca="1">IFERROR(__xludf.DUMMYFUNCTION("IMPORTRANGE(""https://docs.google.com/spreadsheets/d/1Yj_ptqi66GCucihVvJfMjLAmec39IyEx_6qawtMGysU/edit?usp=sharing"",""สบก!CT62"")"),96320)</f>
        <v>96320</v>
      </c>
      <c r="N294" s="169">
        <f ca="1">IFERROR(__xludf.DUMMYFUNCTION("IMPORTRANGE(""https://docs.google.com/spreadsheets/d/1Yj_ptqi66GCucihVvJfMjLAmec39IyEx_6qawtMGysU/edit?usp=sharing"",""สบก!CU62"")"),88840)</f>
        <v>88840</v>
      </c>
      <c r="O294" s="169">
        <f ca="1">IF(L294&gt;0,N294*100/L294,0)</f>
        <v>92.234219269102994</v>
      </c>
      <c r="P294" s="169">
        <f ca="1">IF(M294&gt;0,N294*100/M294,0)</f>
        <v>92.234219269102994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IFERROR(__xludf.DUMMYFUNCTION("IMPORTRANGE(""https://docs.google.com/spreadsheets/d/1Yj_ptqi66GCucihVvJfMjLAmec39IyEx_6qawtMGysU/edit?usp=sharing"",""สบก!CQ62"")"),96320)</f>
        <v>96320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IFERROR(__xludf.DUMMYFUNCTION("IMPORTRANGE(""https://docs.google.com/spreadsheets/d/1SX6NBoVAgQJ6U1MVXOaj8PK2l7WJ3RER9xtqwdhxkhw/edit?usp=sharing"",""ชลบุรี!J213"")"),0)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IFERROR(__xludf.DUMMYFUNCTION("IMPORTRANGE(""https://docs.google.com/spreadsheets/d/1SX6NBoVAgQJ6U1MVXOaj8PK2l7WJ3RER9xtqwdhxkhw/edit?usp=sharing"",""ชลบุรี!I214"")"),2)</f>
        <v>2</v>
      </c>
      <c r="J309" s="333">
        <f ca="1">IFERROR(__xludf.DUMMYFUNCTION("IMPORTRANGE(""https://docs.google.com/spreadsheets/d/1SX6NBoVAgQJ6U1MVXOaj8PK2l7WJ3RER9xtqwdhxkhw/edit?usp=sharing"",""ชลบุรี!J214"")"),2)</f>
        <v>2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359600</v>
      </c>
      <c r="M310" s="152">
        <f t="shared" ca="1" si="93"/>
        <v>269700</v>
      </c>
      <c r="N310" s="152">
        <f t="shared" ca="1" si="93"/>
        <v>169677</v>
      </c>
      <c r="O310" s="151">
        <f t="shared" ref="O310:O312" ca="1" si="94">IF(L310&gt;0,N310*100/L310,0)</f>
        <v>47.184927697441601</v>
      </c>
      <c r="P310" s="151">
        <f t="shared" ref="P310:P312" ca="1" si="95">IF(M310&gt;0,N310*100/M310,0)</f>
        <v>62.913236929922135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359600</v>
      </c>
      <c r="M312" s="157">
        <f t="shared" ca="1" si="97"/>
        <v>269700</v>
      </c>
      <c r="N312" s="157">
        <f t="shared" ca="1" si="97"/>
        <v>169677</v>
      </c>
      <c r="O312" s="156">
        <f t="shared" ca="1" si="94"/>
        <v>47.184927697441601</v>
      </c>
      <c r="P312" s="156">
        <f t="shared" ca="1" si="95"/>
        <v>62.913236929922135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IFERROR(__xludf.DUMMYFUNCTION("IMPORTRANGE(""https://docs.google.com/spreadsheets/d/1Yj_ptqi66GCucihVvJfMjLAmec39IyEx_6qawtMGysU/edit?usp=sharing"",""สบก!DC62"")"),269700)</f>
        <v>269700</v>
      </c>
      <c r="N314" s="169">
        <f ca="1">IFERROR(__xludf.DUMMYFUNCTION("IMPORTRANGE(""https://docs.google.com/spreadsheets/d/1Yj_ptqi66GCucihVvJfMjLAmec39IyEx_6qawtMGysU/edit?usp=sharing"",""สบก!DD62"")"),169677)</f>
        <v>169677</v>
      </c>
      <c r="O314" s="169">
        <f ca="1">IF(L314&gt;0,N314*100/L314,0)</f>
        <v>47.184927697441601</v>
      </c>
      <c r="P314" s="169">
        <f ca="1">IF(M314&gt;0,N314*100/M314,0)</f>
        <v>62.913236929922135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IFERROR(__xludf.DUMMYFUNCTION("IMPORTRANGE(""https://docs.google.com/spreadsheets/d/1SX6NBoVAgQJ6U1MVXOaj8PK2l7WJ3RER9xtqwdhxkhw/edit?usp=sharing"",""ชลบุรี!J222"")"),1)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IFERROR(__xludf.DUMMYFUNCTION("IMPORTRANGE(""https://docs.google.com/spreadsheets/d/1SX6NBoVAgQJ6U1MVXOaj8PK2l7WJ3RER9xtqwdhxkhw/edit?usp=sharing"",""ชลบุรี!J223"")"),1)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4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IFERROR(__xludf.DUMMYFUNCTION("IMPORTRANGE(""https://docs.google.com/spreadsheets/d/1SX6NBoVAgQJ6U1MVXOaj8PK2l7WJ3RER9xtqwdhxkhw/edit?usp=sharing"",""ชลบุรี!J226"")"),0)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IFERROR(__xludf.DUMMYFUNCTION("IMPORTRANGE(""https://docs.google.com/spreadsheets/d/1SX6NBoVAgQJ6U1MVXOaj8PK2l7WJ3RER9xtqwdhxkhw/edit?usp=sharing"",""ชลบุรี!I228"")"),340)</f>
        <v>340</v>
      </c>
      <c r="J328" s="339">
        <f ca="1">IFERROR(__xludf.DUMMYFUNCTION("IMPORTRANGE(""https://docs.google.com/spreadsheets/d/1SX6NBoVAgQJ6U1MVXOaj8PK2l7WJ3RER9xtqwdhxkhw/edit?usp=sharing"",""ชลบุรี!J228"")"),223)</f>
        <v>223</v>
      </c>
      <c r="K328" s="317">
        <f ca="1">IF(I328&gt;0,J328*100/I328,0)</f>
        <v>65.588235294117652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1040200</v>
      </c>
      <c r="M329" s="152">
        <f t="shared" ca="1" si="98"/>
        <v>865930</v>
      </c>
      <c r="N329" s="152">
        <f t="shared" ca="1" si="98"/>
        <v>618680.14</v>
      </c>
      <c r="O329" s="151">
        <f t="shared" ref="O329:O331" ca="1" si="99">IF(L329&gt;0,N329*100/L329,0)</f>
        <v>59.47703710824841</v>
      </c>
      <c r="P329" s="151">
        <f t="shared" ref="P329:P331" ca="1" si="100">IF(M329&gt;0,N329*100/M329,0)</f>
        <v>71.446899864885154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1040200</v>
      </c>
      <c r="M331" s="157">
        <f t="shared" ca="1" si="102"/>
        <v>865930</v>
      </c>
      <c r="N331" s="157">
        <f t="shared" ca="1" si="102"/>
        <v>618680.14</v>
      </c>
      <c r="O331" s="156">
        <f t="shared" ca="1" si="99"/>
        <v>59.47703710824841</v>
      </c>
      <c r="P331" s="156">
        <f t="shared" ca="1" si="100"/>
        <v>71.446899864885154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1013200</v>
      </c>
      <c r="M333" s="168">
        <f ca="1">IFERROR(__xludf.DUMMYFUNCTION("IMPORTRANGE(""https://docs.google.com/spreadsheets/d/1Yj_ptqi66GCucihVvJfMjLAmec39IyEx_6qawtMGysU/edit?usp=sharing"",""สบก!DL62"")"),838930)</f>
        <v>838930</v>
      </c>
      <c r="N333" s="169">
        <f ca="1">IFERROR(__xludf.DUMMYFUNCTION("IMPORTRANGE(""https://docs.google.com/spreadsheets/d/1Yj_ptqi66GCucihVvJfMjLAmec39IyEx_6qawtMGysU/edit?usp=sharing"",""สบก!DM62"")"),591680.14)</f>
        <v>591680.14</v>
      </c>
      <c r="O333" s="169">
        <f ca="1">IF(L333&gt;0,N333*100/L333,0)</f>
        <v>58.39717133833399</v>
      </c>
      <c r="P333" s="169">
        <f ca="1">IF(M333&gt;0,N333*100/M333,0)</f>
        <v>70.527951080543076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IFERROR(__xludf.DUMMYFUNCTION("IMPORTRANGE(""https://docs.google.com/spreadsheets/d/1Yj_ptqi66GCucihVvJfMjLAmec39IyEx_6qawtMGysU/edit?usp=sharing"",""สบก!DI62"")"),543200)</f>
        <v>543200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IFERROR(__xludf.DUMMYFUNCTION("IMPORTRANGE(""https://docs.google.com/spreadsheets/d/1SX6NBoVAgQJ6U1MVXOaj8PK2l7WJ3RER9xtqwdhxkhw/edit?usp=sharing"",""ชลบุรี!J234"")"),364)</f>
        <v>364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IFERROR(__xludf.DUMMYFUNCTION("IMPORTRANGE(""https://docs.google.com/spreadsheets/d/1SX6NBoVAgQJ6U1MVXOaj8PK2l7WJ3RER9xtqwdhxkhw/edit?usp=sharing"",""ชลบุรี!I235"")"),4200)</f>
        <v>4200</v>
      </c>
      <c r="J340" s="188">
        <f ca="1">IFERROR(__xludf.DUMMYFUNCTION("IMPORTRANGE(""https://docs.google.com/spreadsheets/d/1SX6NBoVAgQJ6U1MVXOaj8PK2l7WJ3RER9xtqwdhxkhw/edit?usp=sharing"",""ชลบุรี!J235"")"),4335.88)</f>
        <v>4335.88</v>
      </c>
      <c r="K340" s="342">
        <f t="shared" ca="1" si="103"/>
        <v>103.23523809523809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IFERROR(__xludf.DUMMYFUNCTION("IMPORTRANGE(""https://docs.google.com/spreadsheets/d/1SX6NBoVAgQJ6U1MVXOaj8PK2l7WJ3RER9xtqwdhxkhw/edit?usp=sharing"",""ชลบุรี!I236"")"),340)</f>
        <v>340</v>
      </c>
      <c r="J341" s="188">
        <f ca="1">IFERROR(__xludf.DUMMYFUNCTION("IMPORTRANGE(""https://docs.google.com/spreadsheets/d/1SX6NBoVAgQJ6U1MVXOaj8PK2l7WJ3RER9xtqwdhxkhw/edit?usp=sharing"",""ชลบุรี!J236"")"),251)</f>
        <v>251</v>
      </c>
      <c r="K341" s="342">
        <f t="shared" ca="1" si="103"/>
        <v>73.82352941176471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IFERROR(__xludf.DUMMYFUNCTION("IMPORTRANGE(""https://docs.google.com/spreadsheets/d/1SX6NBoVAgQJ6U1MVXOaj8PK2l7WJ3RER9xtqwdhxkhw/edit?usp=sharing"",""ชลบุรี!J237"")"),2854.94)</f>
        <v>2854.94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IFERROR(__xludf.DUMMYFUNCTION("IMPORTRANGE(""https://docs.google.com/spreadsheets/d/1SX6NBoVAgQJ6U1MVXOaj8PK2l7WJ3RER9xtqwdhxkhw/edit?usp=sharing"",""ชลบุรี!I238"")"),340)</f>
        <v>340</v>
      </c>
      <c r="J343" s="188">
        <f ca="1">IFERROR(__xludf.DUMMYFUNCTION("IMPORTRANGE(""https://docs.google.com/spreadsheets/d/1SX6NBoVAgQJ6U1MVXOaj8PK2l7WJ3RER9xtqwdhxkhw/edit?usp=sharing"",""ชลบุรี!J238"")"),1)</f>
        <v>1</v>
      </c>
      <c r="K343" s="342">
        <f t="shared" ca="1" si="103"/>
        <v>0.29411764705882354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IFERROR(__xludf.DUMMYFUNCTION("IMPORTRANGE(""https://docs.google.com/spreadsheets/d/1SX6NBoVAgQJ6U1MVXOaj8PK2l7WJ3RER9xtqwdhxkhw/edit?usp=sharing"",""ชลบุรี!J239"")"),2)</f>
        <v>2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IFERROR(__xludf.DUMMYFUNCTION("IMPORTRANGE(""https://docs.google.com/spreadsheets/d/1SX6NBoVAgQJ6U1MVXOaj8PK2l7WJ3RER9xtqwdhxkhw/edit?usp=sharing"",""ชลบุรี!I240"")"),340)</f>
        <v>340</v>
      </c>
      <c r="J345" s="188">
        <f ca="1">IFERROR(__xludf.DUMMYFUNCTION("IMPORTRANGE(""https://docs.google.com/spreadsheets/d/1SX6NBoVAgQJ6U1MVXOaj8PK2l7WJ3RER9xtqwdhxkhw/edit?usp=sharing"",""ชลบุรี!J240"")"),223)</f>
        <v>223</v>
      </c>
      <c r="K345" s="342">
        <f t="shared" ca="1" si="103"/>
        <v>65.588235294117652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IFERROR(__xludf.DUMMYFUNCTION("IMPORTRANGE(""https://docs.google.com/spreadsheets/d/1SX6NBoVAgQJ6U1MVXOaj8PK2l7WJ3RER9xtqwdhxkhw/edit?usp=sharing"",""ชลบุรี!J241"")"),2538.16)</f>
        <v>2538.16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IFERROR(__xludf.DUMMYFUNCTION("IMPORTRANGE(""https://docs.google.com/spreadsheets/d/1SX6NBoVAgQJ6U1MVXOaj8PK2l7WJ3RER9xtqwdhxkhw/edit?usp=sharing"",""ชลบุรี!L242"")"),1623035)</f>
        <v>1623035</v>
      </c>
      <c r="M347" s="358"/>
      <c r="N347" s="358">
        <f ca="1">IFERROR(__xludf.DUMMYFUNCTION("IMPORTRANGE(""https://docs.google.com/spreadsheets/d/1SX6NBoVAgQJ6U1MVXOaj8PK2l7WJ3RER9xtqwdhxkhw/edit?usp=sharing"",""ชลบุรี!M242"")"),344903.74)</f>
        <v>344903.74</v>
      </c>
      <c r="O347" s="358">
        <f ca="1">+IF(L347&gt;0,N347*100/L347,0)</f>
        <v>21.250542348131741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IFERROR(__xludf.DUMMYFUNCTION("IMPORTRANGE(""https://docs.google.com/spreadsheets/d/1SX6NBoVAgQJ6U1MVXOaj8PK2l7WJ3RER9xtqwdhxkhw/edit?usp=sharing"",""ชลบุรี!M244"")"),69673)</f>
        <v>69673</v>
      </c>
      <c r="O349" s="373">
        <f ca="1">+IF(L349&gt;0,N349*100/L349,0)</f>
        <v>31.509135311143272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IFERROR(__xludf.DUMMYFUNCTION("IMPORTRANGE(""https://docs.google.com/spreadsheets/d/1SX6NBoVAgQJ6U1MVXOaj8PK2l7WJ3RER9xtqwdhxkhw/edit?usp=sharing"",""ชลบุรี!M247"")"),69673)</f>
        <v>69673</v>
      </c>
      <c r="O352" s="165">
        <f t="shared" ca="1" si="105"/>
        <v>31.509135311143272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IFERROR(__xludf.DUMMYFUNCTION("IMPORTRANGE(""https://docs.google.com/spreadsheets/d/1SX6NBoVAgQJ6U1MVXOaj8PK2l7WJ3RER9xtqwdhxkhw/edit?usp=sharing"",""ชลบุรี!M249"")"),69673)</f>
        <v>69673</v>
      </c>
      <c r="O354" s="169">
        <f t="shared" ca="1" si="105"/>
        <v>31.509135311143272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IFERROR(__xludf.DUMMYFUNCTION("IMPORTRANGE(""https://docs.google.com/spreadsheets/d/1SX6NBoVAgQJ6U1MVXOaj8PK2l7WJ3RER9xtqwdhxkhw/edit?usp=sharing"",""ชลบุรี!M252"")"),65633)</f>
        <v>65633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IFERROR(__xludf.DUMMYFUNCTION("IMPORTRANGE(""https://docs.google.com/spreadsheets/d/1SX6NBoVAgQJ6U1MVXOaj8PK2l7WJ3RER9xtqwdhxkhw/edit?usp=sharing"",""ชลบุรี!M253"")"),4040)</f>
        <v>4040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IFERROR(__xludf.DUMMYFUNCTION("IMPORTRANGE(""https://docs.google.com/spreadsheets/d/1SX6NBoVAgQJ6U1MVXOaj8PK2l7WJ3RER9xtqwdhxkhw/edit?usp=sharing"",""ชลบุรี!M275"")"),50423)</f>
        <v>50423</v>
      </c>
      <c r="O380" s="373">
        <f ca="1">+IF(L380&gt;0,N380*100/L380,0)</f>
        <v>10.958186638849046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IFERROR(__xludf.DUMMYFUNCTION("IMPORTRANGE(""https://docs.google.com/spreadsheets/d/1SX6NBoVAgQJ6U1MVXOaj8PK2l7WJ3RER9xtqwdhxkhw/edit?usp=sharing"",""ชลบุรี!M278"")"),50423)</f>
        <v>50423</v>
      </c>
      <c r="O383" s="165">
        <f t="shared" ca="1" si="109"/>
        <v>10.958186638849046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IFERROR(__xludf.DUMMYFUNCTION("IMPORTRANGE(""https://docs.google.com/spreadsheets/d/1SX6NBoVAgQJ6U1MVXOaj8PK2l7WJ3RER9xtqwdhxkhw/edit?usp=sharing"",""ชลบุรี!M280"")"),50423)</f>
        <v>50423</v>
      </c>
      <c r="O385" s="169">
        <f t="shared" ca="1" si="109"/>
        <v>10.958186638849046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IFERROR(__xludf.DUMMYFUNCTION("IMPORTRANGE(""https://docs.google.com/spreadsheets/d/1SX6NBoVAgQJ6U1MVXOaj8PK2l7WJ3RER9xtqwdhxkhw/edit?usp=sharing"",""ชลบุรี!M284"")"),12703)</f>
        <v>12703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IFERROR(__xludf.DUMMYFUNCTION("IMPORTRANGE(""https://docs.google.com/spreadsheets/d/1SX6NBoVAgQJ6U1MVXOaj8PK2l7WJ3RER9xtqwdhxkhw/edit?usp=sharing"",""ชลบุรี!M296"")"),25509)</f>
        <v>25509</v>
      </c>
      <c r="O401" s="373">
        <f ca="1">+IF(L401&gt;0,N401*100/L401,0)</f>
        <v>25.028453689167975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IFERROR(__xludf.DUMMYFUNCTION("IMPORTRANGE(""https://docs.google.com/spreadsheets/d/1SX6NBoVAgQJ6U1MVXOaj8PK2l7WJ3RER9xtqwdhxkhw/edit?usp=sharing"",""ชลบุรี!M299"")"),25509)</f>
        <v>25509</v>
      </c>
      <c r="O404" s="169">
        <f t="shared" ca="1" si="112"/>
        <v>25.028453689167975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IFERROR(__xludf.DUMMYFUNCTION("IMPORTRANGE(""https://docs.google.com/spreadsheets/d/1SX6NBoVAgQJ6U1MVXOaj8PK2l7WJ3RER9xtqwdhxkhw/edit?usp=sharing"",""ชลบุรี!M301"")"),25509)</f>
        <v>25509</v>
      </c>
      <c r="O406" s="169">
        <f t="shared" ca="1" si="112"/>
        <v>25.028453689167975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IFERROR(__xludf.DUMMYFUNCTION("IMPORTRANGE(""https://docs.google.com/spreadsheets/d/1SX6NBoVAgQJ6U1MVXOaj8PK2l7WJ3RER9xtqwdhxkhw/edit?usp=sharing"",""ชลบุรี!J350"")"),62571.45)</f>
        <v>62571.45</v>
      </c>
      <c r="K455" s="372">
        <f ca="1">IF(I455&gt;0,J455*100/I455,0)</f>
        <v>88.081660519721837</v>
      </c>
      <c r="L455" s="373">
        <f ca="1">IFERROR(__xludf.DUMMYFUNCTION("IMPORTRANGE(""https://docs.google.com/spreadsheets/d/1SX6NBoVAgQJ6U1MVXOaj8PK2l7WJ3RER9xtqwdhxkhw/edit?usp=sharing"",""ชลบุรี!L350"")"),593545)</f>
        <v>593545</v>
      </c>
      <c r="M455" s="373"/>
      <c r="N455" s="373">
        <f ca="1">IFERROR(__xludf.DUMMYFUNCTION("IMPORTRANGE(""https://docs.google.com/spreadsheets/d/1SX6NBoVAgQJ6U1MVXOaj8PK2l7WJ3RER9xtqwdhxkhw/edit?usp=sharing"",""ชลบุรี!M350"")"),67428)</f>
        <v>67428</v>
      </c>
      <c r="O455" s="373">
        <f t="shared" ref="O455:O459" ca="1" si="116">+IF(L455&gt;0,N455*100/L455,0)</f>
        <v>11.360217001238322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IFERROR(__xludf.DUMMYFUNCTION("IMPORTRANGE(""https://docs.google.com/spreadsheets/d/1SX6NBoVAgQJ6U1MVXOaj8PK2l7WJ3RER9xtqwdhxkhw/edit?usp=sharing"",""ชลบุรี!L352"")"),593545)</f>
        <v>593545</v>
      </c>
      <c r="M457" s="165"/>
      <c r="N457" s="169">
        <f ca="1">IFERROR(__xludf.DUMMYFUNCTION("IMPORTRANGE(""https://docs.google.com/spreadsheets/d/1SX6NBoVAgQJ6U1MVXOaj8PK2l7WJ3RER9xtqwdhxkhw/edit?usp=sharing"",""ชลบุรี!M352"")"),67428)</f>
        <v>67428</v>
      </c>
      <c r="O457" s="169">
        <f t="shared" ca="1" si="116"/>
        <v>11.360217001238322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IFERROR(__xludf.DUMMYFUNCTION("IMPORTRANGE(""https://docs.google.com/spreadsheets/d/1SX6NBoVAgQJ6U1MVXOaj8PK2l7WJ3RER9xtqwdhxkhw/edit?usp=sharing"",""ชลบุรี!L354"")"),593545)</f>
        <v>593545</v>
      </c>
      <c r="M459" s="169"/>
      <c r="N459" s="169">
        <f ca="1">IFERROR(__xludf.DUMMYFUNCTION("IMPORTRANGE(""https://docs.google.com/spreadsheets/d/1SX6NBoVAgQJ6U1MVXOaj8PK2l7WJ3RER9xtqwdhxkhw/edit?usp=sharing"",""ชลบุรี!M354"")"),67428)</f>
        <v>67428</v>
      </c>
      <c r="O459" s="169">
        <f t="shared" ca="1" si="116"/>
        <v>11.360217001238322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IFERROR(__xludf.DUMMYFUNCTION("IMPORTRANGE(""https://docs.google.com/spreadsheets/d/1SX6NBoVAgQJ6U1MVXOaj8PK2l7WJ3RER9xtqwdhxkhw/edit?usp=sharing"",""ชลบุรี!M357"")"),33000)</f>
        <v>33000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IFERROR(__xludf.DUMMYFUNCTION("IMPORTRANGE(""https://docs.google.com/spreadsheets/d/1SX6NBoVAgQJ6U1MVXOaj8PK2l7WJ3RER9xtqwdhxkhw/edit?usp=sharing"",""ชลบุรี!M358"")"),34428)</f>
        <v>34428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IFERROR(__xludf.DUMMYFUNCTION("IMPORTRANGE(""https://docs.google.com/spreadsheets/d/1SX6NBoVAgQJ6U1MVXOaj8PK2l7WJ3RER9xtqwdhxkhw/edit?usp=sharing"",""ชลบุรี!I359"")"),71038)</f>
        <v>71038</v>
      </c>
      <c r="J464" s="267">
        <f ca="1">IFERROR(__xludf.DUMMYFUNCTION("IMPORTRANGE(""https://docs.google.com/spreadsheets/d/1SX6NBoVAgQJ6U1MVXOaj8PK2l7WJ3RER9xtqwdhxkhw/edit?usp=sharing"",""ชลบุรี!J359"")"),62571.45)</f>
        <v>62571.45</v>
      </c>
      <c r="K464" s="268">
        <f t="shared" ref="K464:K515" ca="1" si="117">IF(I464&gt;0,J464*100/I464,0)</f>
        <v>88.081660519721837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IFERROR(__xludf.DUMMYFUNCTION("IMPORTRANGE(""https://docs.google.com/spreadsheets/d/1SX6NBoVAgQJ6U1MVXOaj8PK2l7WJ3RER9xtqwdhxkhw/edit?usp=sharing"",""ชลบุรี!J360"")"),71037.45)</f>
        <v>71037.45</v>
      </c>
      <c r="K465" s="202">
        <f t="shared" ca="1" si="117"/>
        <v>99.999225766491179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IFERROR(__xludf.DUMMYFUNCTION("IMPORTRANGE(""https://docs.google.com/spreadsheets/d/1SX6NBoVAgQJ6U1MVXOaj8PK2l7WJ3RER9xtqwdhxkhw/edit?usp=sharing"",""ชลบุรี!J361"")"),5288)</f>
        <v>5288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IFERROR(__xludf.DUMMYFUNCTION("IMPORTRANGE(""https://docs.google.com/spreadsheets/d/1SX6NBoVAgQJ6U1MVXOaj8PK2l7WJ3RER9xtqwdhxkhw/edit?usp=sharing"",""ชลบุรี!J362"")"),62571.45)</f>
        <v>62571.45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IFERROR(__xludf.DUMMYFUNCTION("IMPORTRANGE(""https://docs.google.com/spreadsheets/d/1SX6NBoVAgQJ6U1MVXOaj8PK2l7WJ3RER9xtqwdhxkhw/edit?usp=sharing"",""ชลบุรี!J363"")"),4769)</f>
        <v>4769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IFERROR(__xludf.DUMMYFUNCTION("IMPORTRANGE(""https://docs.google.com/spreadsheets/d/1SX6NBoVAgQJ6U1MVXOaj8PK2l7WJ3RER9xtqwdhxkhw/edit?usp=sharing"",""ชลบุรี!J364"")"),7888)</f>
        <v>7888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IFERROR(__xludf.DUMMYFUNCTION("IMPORTRANGE(""https://docs.google.com/spreadsheets/d/1SX6NBoVAgQJ6U1MVXOaj8PK2l7WJ3RER9xtqwdhxkhw/edit?usp=sharing"",""ชลบุรี!J365"")"),468)</f>
        <v>468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IFERROR(__xludf.DUMMYFUNCTION("IMPORTRANGE(""https://docs.google.com/spreadsheets/d/1SX6NBoVAgQJ6U1MVXOaj8PK2l7WJ3RER9xtqwdhxkhw/edit?usp=sharing"",""ชลบุรี!J376"")"),62571.45)</f>
        <v>62571.45</v>
      </c>
      <c r="K481" s="202">
        <f t="shared" ca="1" si="117"/>
        <v>88.081660519721837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IFERROR(__xludf.DUMMYFUNCTION("IMPORTRANGE(""https://docs.google.com/spreadsheets/d/1SX6NBoVAgQJ6U1MVXOaj8PK2l7WJ3RER9xtqwdhxkhw/edit?usp=sharing"",""ชลบุรี!J377"")"),4769)</f>
        <v>4769</v>
      </c>
      <c r="K482" s="163">
        <f t="shared" ca="1" si="117"/>
        <v>90.185325264750375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IFERROR(__xludf.DUMMYFUNCTION("IMPORTRANGE(""https://docs.google.com/spreadsheets/d/1SX6NBoVAgQJ6U1MVXOaj8PK2l7WJ3RER9xtqwdhxkhw/edit?usp=sharing"",""ชลบุรี!J378"")"),62571.45)</f>
        <v>62571.45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IFERROR(__xludf.DUMMYFUNCTION("IMPORTRANGE(""https://docs.google.com/spreadsheets/d/1SX6NBoVAgQJ6U1MVXOaj8PK2l7WJ3RER9xtqwdhxkhw/edit?usp=sharing"",""ชลบุรี!J379"")"),4769)</f>
        <v>4769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IFERROR(__xludf.DUMMYFUNCTION("IMPORTRANGE(""https://docs.google.com/spreadsheets/d/1SX6NBoVAgQJ6U1MVXOaj8PK2l7WJ3RER9xtqwdhxkhw/edit?usp=sharing"",""ชลบุรี!I411"")"),0)</f>
        <v>0</v>
      </c>
      <c r="J516" s="267">
        <f ca="1">IFERROR(__xludf.DUMMYFUNCTION("IMPORTRANGE(""https://docs.google.com/spreadsheets/d/1SX6NBoVAgQJ6U1MVXOaj8PK2l7WJ3RER9xtqwdhxkhw/edit?usp=sharing"",""ชลบุรี!J411"")"),0)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IFERROR(__xludf.DUMMYFUNCTION("IMPORTRANGE(""https://docs.google.com/spreadsheets/d/1SX6NBoVAgQJ6U1MVXOaj8PK2l7WJ3RER9xtqwdhxkhw/edit?usp=sharing"",""ชลบุรี!I412"")"),0)</f>
        <v>0</v>
      </c>
      <c r="J517" s="284">
        <f ca="1">IFERROR(__xludf.DUMMYFUNCTION("IMPORTRANGE(""https://docs.google.com/spreadsheets/d/1SX6NBoVAgQJ6U1MVXOaj8PK2l7WJ3RER9xtqwdhxkhw/edit?usp=sharing"",""ชลบุรี!J412"")"),0)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IFERROR(__xludf.DUMMYFUNCTION("IMPORTRANGE(""https://docs.google.com/spreadsheets/d/1SX6NBoVAgQJ6U1MVXOaj8PK2l7WJ3RER9xtqwdhxkhw/edit?usp=sharing"",""ชลบุรี!I413"")"),0)</f>
        <v>0</v>
      </c>
      <c r="J518" s="284">
        <f ca="1">IFERROR(__xludf.DUMMYFUNCTION("IMPORTRANGE(""https://docs.google.com/spreadsheets/d/1SX6NBoVAgQJ6U1MVXOaj8PK2l7WJ3RER9xtqwdhxkhw/edit?usp=sharing"",""ชลบุรี!J413"")"),0)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IFERROR(__xludf.DUMMYFUNCTION("IMPORTRANGE(""https://docs.google.com/spreadsheets/d/1SX6NBoVAgQJ6U1MVXOaj8PK2l7WJ3RER9xtqwdhxkhw/edit?usp=sharing"",""ชลบุรี!I420"")"),4494)</f>
        <v>4494</v>
      </c>
      <c r="J525" s="284">
        <f ca="1">IFERROR(__xludf.DUMMYFUNCTION("IMPORTRANGE(""https://docs.google.com/spreadsheets/d/1SX6NBoVAgQJ6U1MVXOaj8PK2l7WJ3RER9xtqwdhxkhw/edit?usp=sharing"",""ชลบุรี!J420"")"),4494.41)</f>
        <v>4494.41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IFERROR(__xludf.DUMMYFUNCTION("IMPORTRANGE(""https://docs.google.com/spreadsheets/d/1SX6NBoVAgQJ6U1MVXOaj8PK2l7WJ3RER9xtqwdhxkhw/edit?usp=sharing"",""ชลบุรี!I421"")"),115)</f>
        <v>115</v>
      </c>
      <c r="J526" s="284">
        <f ca="1">IFERROR(__xludf.DUMMYFUNCTION("IMPORTRANGE(""https://docs.google.com/spreadsheets/d/1SX6NBoVAgQJ6U1MVXOaj8PK2l7WJ3RER9xtqwdhxkhw/edit?usp=sharing"",""ชลบุรี!J421"")"),115)</f>
        <v>115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45.465686274509807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IFERROR(__xludf.DUMMYFUNCTION("IMPORTRANGE(""https://docs.google.com/spreadsheets/d/1SX6NBoVAgQJ6U1MVXOaj8PK2l7WJ3RER9xtqwdhxkhw/edit?usp=sharing"",""ชลบุรี!L430"")"),32640)</f>
        <v>32640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45.465686274509807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IFERROR(__xludf.DUMMYFUNCTION("IMPORTRANGE(""https://docs.google.com/spreadsheets/d/1SX6NBoVAgQJ6U1MVXOaj8PK2l7WJ3RER9xtqwdhxkhw/edit?usp=sharing"",""ชลบุรี!L432"")"),32640)</f>
        <v>32640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45.465686274509807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IFERROR(__xludf.DUMMYFUNCTION("IMPORTRANGE(""https://docs.google.com/spreadsheets/d/1SX6NBoVAgQJ6U1MVXOaj8PK2l7WJ3RER9xtqwdhxkhw/edit?usp=sharing"",""ชลบุรี!J459"")"),1683)</f>
        <v>1683</v>
      </c>
      <c r="K564" s="372">
        <f ca="1">IF(I564&gt;0,J564*100/I564,0)</f>
        <v>187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IFERROR(__xludf.DUMMYFUNCTION("IMPORTRANGE(""https://docs.google.com/spreadsheets/d/1SX6NBoVAgQJ6U1MVXOaj8PK2l7WJ3RER9xtqwdhxkhw/edit?usp=sharing"",""ชลบุรี!M459"")"),44223.85)</f>
        <v>44223.85</v>
      </c>
      <c r="O564" s="373">
        <f t="shared" ref="O564:O568" ca="1" si="122">+IF(L564&gt;0,N564*100/L564,0)</f>
        <v>36.512425693527078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IFERROR(__xludf.DUMMYFUNCTION("IMPORTRANGE(""https://docs.google.com/spreadsheets/d/1SX6NBoVAgQJ6U1MVXOaj8PK2l7WJ3RER9xtqwdhxkhw/edit?usp=sharing"",""ชลบุรี!M461"")"),44223.85)</f>
        <v>44223.85</v>
      </c>
      <c r="O566" s="169">
        <f t="shared" ca="1" si="122"/>
        <v>36.512425693527078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IFERROR(__xludf.DUMMYFUNCTION("IMPORTRANGE(""https://docs.google.com/spreadsheets/d/1SX6NBoVAgQJ6U1MVXOaj8PK2l7WJ3RER9xtqwdhxkhw/edit?usp=sharing"",""ชลบุรี!M463"")"),44223.85)</f>
        <v>44223.85</v>
      </c>
      <c r="O568" s="169">
        <f t="shared" ca="1" si="122"/>
        <v>36.512425693527078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IFERROR(__xludf.DUMMYFUNCTION("IMPORTRANGE(""https://docs.google.com/spreadsheets/d/1SX6NBoVAgQJ6U1MVXOaj8PK2l7WJ3RER9xtqwdhxkhw/edit?usp=sharing"",""ชลบุรี!M466"")"),27892.85)</f>
        <v>27892.85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IFERROR(__xludf.DUMMYFUNCTION("IMPORTRANGE(""https://docs.google.com/spreadsheets/d/1SX6NBoVAgQJ6U1MVXOaj8PK2l7WJ3RER9xtqwdhxkhw/edit?usp=sharing"",""ชลบุรี!M467"")"),16331)</f>
        <v>16331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IFERROR(__xludf.DUMMYFUNCTION("IMPORTRANGE(""https://docs.google.com/spreadsheets/d/1SX6NBoVAgQJ6U1MVXOaj8PK2l7WJ3RER9xtqwdhxkhw/edit?usp=sharing"",""ชลบุรี!J468"")"),1683)</f>
        <v>1683</v>
      </c>
      <c r="K573" s="202">
        <f ca="1">IF(I573&gt;0,J573*100/I573,0)</f>
        <v>187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IFERROR(__xludf.DUMMYFUNCTION("IMPORTRANGE(""https://docs.google.com/spreadsheets/d/1SX6NBoVAgQJ6U1MVXOaj8PK2l7WJ3RER9xtqwdhxkhw/edit?usp=sharing"",""ชลบุรี!J471"")"),65)</f>
        <v>65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IFERROR(__xludf.DUMMYFUNCTION("IMPORTRANGE(""https://docs.google.com/spreadsheets/d/1SX6NBoVAgQJ6U1MVXOaj8PK2l7WJ3RER9xtqwdhxkhw/edit?usp=sharing"",""ชลบุรี!J472"")"),1618)</f>
        <v>1618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IFERROR(__xludf.DUMMYFUNCTION("IMPORTRANGE(""https://docs.google.com/spreadsheets/d/1SX6NBoVAgQJ6U1MVXOaj8PK2l7WJ3RER9xtqwdhxkhw/edit?usp=sharing"",""ชลบุรี!M477"")"),0)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IFERROR(__xludf.DUMMYFUNCTION("IMPORTRANGE(""https://docs.google.com/spreadsheets/d/1SX6NBoVAgQJ6U1MVXOaj8PK2l7WJ3RER9xtqwdhxkhw/edit?usp=sharing"",""ชลบุรี!M479"")"),0)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IFERROR(__xludf.DUMMYFUNCTION("IMPORTRANGE(""https://docs.google.com/spreadsheets/d/1SX6NBoVAgQJ6U1MVXOaj8PK2l7WJ3RER9xtqwdhxkhw/edit?usp=sharing"",""ชลบุรี!J485"")"),0.73)</f>
        <v>0.73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IFERROR(__xludf.DUMMYFUNCTION("IMPORTRANGE(""https://docs.google.com/spreadsheets/d/1SX6NBoVAgQJ6U1MVXOaj8PK2l7WJ3RER9xtqwdhxkhw/edit?usp=sharing"",""ชลบุรี!J487"")"),0.16)</f>
        <v>0.16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IFERROR(__xludf.DUMMYFUNCTION("IMPORTRANGE(""https://docs.google.com/spreadsheets/d/1SX6NBoVAgQJ6U1MVXOaj8PK2l7WJ3RER9xtqwdhxkhw/edit?usp=sharing"",""ชลบุรี!I491"")"),0)</f>
        <v>0</v>
      </c>
      <c r="J596" s="241">
        <f ca="1">IFERROR(__xludf.DUMMYFUNCTION("IMPORTRANGE(""https://docs.google.com/spreadsheets/d/1SX6NBoVAgQJ6U1MVXOaj8PK2l7WJ3RER9xtqwdhxkhw/edit?usp=sharing"",""ชลบุรี!J491"")"),0)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7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6.5934065934065931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6.5934065934065931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1">
        <f ca="1">IFERROR(__xludf.DUMMYFUNCTION("IMPORTRANGE(""https://docs.google.com/spreadsheets/d/1SX6NBoVAgQJ6U1MVXOaj8PK2l7WJ3RER9xtqwdhxkhw/edit?usp=sharing"",""ชลบุรี!J523"")"),3479669.64)</f>
        <v>3479669.64</v>
      </c>
      <c r="K628" s="342">
        <f t="shared" ref="K628:K635" ca="1" si="129">IF(I628&gt;0,J628*100/I628,0)</f>
        <v>34.951638270713048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IFERROR(__xludf.DUMMYFUNCTION("IMPORTRANGE(""https://docs.google.com/spreadsheets/d/1SX6NBoVAgQJ6U1MVXOaj8PK2l7WJ3RER9xtqwdhxkhw/edit?usp=sharing"",""ชลบุรี!I524"")"),249)</f>
        <v>249</v>
      </c>
      <c r="J629" s="341">
        <f ca="1">IFERROR(__xludf.DUMMYFUNCTION("IMPORTRANGE(""https://docs.google.com/spreadsheets/d/1SX6NBoVAgQJ6U1MVXOaj8PK2l7WJ3RER9xtqwdhxkhw/edit?usp=sharing"",""ชลบุรี!J524"")"),77)</f>
        <v>77</v>
      </c>
      <c r="K629" s="342">
        <f t="shared" ca="1" si="129"/>
        <v>30.923694779116467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IFERROR(__xludf.DUMMYFUNCTION("IMPORTRANGE(""https://docs.google.com/spreadsheets/d/1SX6NBoVAgQJ6U1MVXOaj8PK2l7WJ3RER9xtqwdhxkhw/edit?usp=sharing"",""ชลบุรี!I525"")"),186084.82)</f>
        <v>186084.82</v>
      </c>
      <c r="J630" s="341">
        <f ca="1">IFERROR(__xludf.DUMMYFUNCTION("IMPORTRANGE(""https://docs.google.com/spreadsheets/d/1SX6NBoVAgQJ6U1MVXOaj8PK2l7WJ3RER9xtqwdhxkhw/edit?usp=sharing"",""ชลบุรี!J525"")"),162279.34)</f>
        <v>162279.34</v>
      </c>
      <c r="K630" s="342">
        <f t="shared" ca="1" si="129"/>
        <v>87.207188635805963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IFERROR(__xludf.DUMMYFUNCTION("IMPORTRANGE(""https://docs.google.com/spreadsheets/d/1SX6NBoVAgQJ6U1MVXOaj8PK2l7WJ3RER9xtqwdhxkhw/edit?usp=sharing"",""ชลบุรี!I526"")"),7)</f>
        <v>7</v>
      </c>
      <c r="J631" s="341">
        <f ca="1">IFERROR(__xludf.DUMMYFUNCTION("IMPORTRANGE(""https://docs.google.com/spreadsheets/d/1SX6NBoVAgQJ6U1MVXOaj8PK2l7WJ3RER9xtqwdhxkhw/edit?usp=sharing"",""ชลบุรี!J526"")"),7)</f>
        <v>7</v>
      </c>
      <c r="K631" s="342">
        <f t="shared" ca="1" si="129"/>
        <v>100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IFERROR(__xludf.DUMMYFUNCTION("IMPORTRANGE(""https://docs.google.com/spreadsheets/d/1SX6NBoVAgQJ6U1MVXOaj8PK2l7WJ3RER9xtqwdhxkhw/edit?usp=sharing"",""ชลบุรี!I527"")"),0)</f>
        <v>0</v>
      </c>
      <c r="J632" s="341">
        <f ca="1">IFERROR(__xludf.DUMMYFUNCTION("IMPORTRANGE(""https://docs.google.com/spreadsheets/d/1SX6NBoVAgQJ6U1MVXOaj8PK2l7WJ3RER9xtqwdhxkhw/edit?usp=sharing"",""ชลบุรี!J527"")"),0)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IFERROR(__xludf.DUMMYFUNCTION("IMPORTRANGE(""https://docs.google.com/spreadsheets/d/1SX6NBoVAgQJ6U1MVXOaj8PK2l7WJ3RER9xtqwdhxkhw/edit?usp=sharing"",""ชลบุรี!I528"")"),0)</f>
        <v>0</v>
      </c>
      <c r="J633" s="341">
        <f ca="1">IFERROR(__xludf.DUMMYFUNCTION("IMPORTRANGE(""https://docs.google.com/spreadsheets/d/1SX6NBoVAgQJ6U1MVXOaj8PK2l7WJ3RER9xtqwdhxkhw/edit?usp=sharing"",""ชลบุรี!J528"")"),0)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IFERROR(__xludf.DUMMYFUNCTION("IMPORTRANGE(""https://docs.google.com/spreadsheets/d/1SX6NBoVAgQJ6U1MVXOaj8PK2l7WJ3RER9xtqwdhxkhw/edit?usp=sharing"",""ชลบุรี!I529"")"),5530000)</f>
        <v>5530000</v>
      </c>
      <c r="J634" s="341">
        <f ca="1">IFERROR(__xludf.DUMMYFUNCTION("IMPORTRANGE(""https://docs.google.com/spreadsheets/d/1SX6NBoVAgQJ6U1MVXOaj8PK2l7WJ3RER9xtqwdhxkhw/edit?usp=sharing"",""ชลบุรี!J529"")"),3110000)</f>
        <v>3110000</v>
      </c>
      <c r="K634" s="342">
        <f t="shared" ca="1" si="129"/>
        <v>56.238698010849909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IFERROR(__xludf.DUMMYFUNCTION("IMPORTRANGE(""https://docs.google.com/spreadsheets/d/1SX6NBoVAgQJ6U1MVXOaj8PK2l7WJ3RER9xtqwdhxkhw/edit?usp=sharing"",""ชลบุรี!I530"")"),115)</f>
        <v>115</v>
      </c>
      <c r="J635" s="504">
        <f ca="1">IFERROR(__xludf.DUMMYFUNCTION("IMPORTRANGE(""https://docs.google.com/spreadsheets/d/1SX6NBoVAgQJ6U1MVXOaj8PK2l7WJ3RER9xtqwdhxkhw/edit?usp=sharing"",""ชลบุรี!J530"")"),63)</f>
        <v>63</v>
      </c>
      <c r="K635" s="486">
        <f t="shared" ca="1" si="129"/>
        <v>54.782608695652172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IFERROR(__xludf.DUMMYFUNCTION("IMPORTRANGE(""https://docs.google.com/spreadsheets/d/1SX6NBoVAgQJ6U1MVXOaj8PK2l7WJ3RER9xtqwdhxkhw/edit#gid=346597447"",""ชลบุรี!J541"")"),0)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IFERROR(__xludf.DUMMYFUNCTION("IMPORTRANGE(""https://docs.google.com/spreadsheets/d/1SX6NBoVAgQJ6U1MVXOaj8PK2l7WJ3RER9xtqwdhxkhw/edit#gid=346597447"",""ชลบุรี!J542"")"),0)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IFERROR(__xludf.DUMMYFUNCTION("IMPORTRANGE(""https://docs.google.com/spreadsheets/d/1SX6NBoVAgQJ6U1MVXOaj8PK2l7WJ3RER9xtqwdhxkhw/edit#gid=346597447"",""ชลบุรี!I543"")"),0)</f>
        <v>0</v>
      </c>
      <c r="J648" s="536">
        <f ca="1">IFERROR(__xludf.DUMMYFUNCTION("IMPORTRANGE(""https://docs.google.com/spreadsheets/d/1SX6NBoVAgQJ6U1MVXOaj8PK2l7WJ3RER9xtqwdhxkhw/edit#gid=346597447"",""ชลบุรี!J543"")"),0)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IFERROR(__xludf.DUMMYFUNCTION("IMPORTRANGE(""https://docs.google.com/spreadsheets/d/1SX6NBoVAgQJ6U1MVXOaj8PK2l7WJ3RER9xtqwdhxkhw/edit#gid=346597447"",""ชลบุรี!L543"")"),0)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IFERROR(__xludf.DUMMYFUNCTION("IMPORTRANGE(""https://docs.google.com/spreadsheets/d/1SX6NBoVAgQJ6U1MVXOaj8PK2l7WJ3RER9xtqwdhxkhw/edit#gid=346597447"",""ชลบุรี!M543"")"),0)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IFERROR(__xludf.DUMMYFUNCTION("IMPORTRANGE(""https://docs.google.com/spreadsheets/d/1SX6NBoVAgQJ6U1MVXOaj8PK2l7WJ3RER9xtqwdhxkhw/edit#gid=346597447"",""ชลบุรี!I544"")"),0)</f>
        <v>0</v>
      </c>
      <c r="J649" s="536">
        <f ca="1">IFERROR(__xludf.DUMMYFUNCTION("IMPORTRANGE(""https://docs.google.com/spreadsheets/d/1SX6NBoVAgQJ6U1MVXOaj8PK2l7WJ3RER9xtqwdhxkhw/edit#gid=346597447"",""ชลบุรี!J544"")"),0)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IFERROR(__xludf.DUMMYFUNCTION("IMPORTRANGE(""https://docs.google.com/spreadsheets/d/1SX6NBoVAgQJ6U1MVXOaj8PK2l7WJ3RER9xtqwdhxkhw/edit#gid=346597447"",""ชลบุรี!L544"")"),0)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IFERROR(__xludf.DUMMYFUNCTION("IMPORTRANGE(""https://docs.google.com/spreadsheets/d/1SX6NBoVAgQJ6U1MVXOaj8PK2l7WJ3RER9xtqwdhxkhw/edit#gid=346597447"",""ชลบุรี!M544"")"),0)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IFERROR(__xludf.DUMMYFUNCTION("IMPORTRANGE(""https://docs.google.com/spreadsheets/d/1SX6NBoVAgQJ6U1MVXOaj8PK2l7WJ3RER9xtqwdhxkhw/edit#gid=346597447"",""ชลบุรี!I545"")"),0)</f>
        <v>0</v>
      </c>
      <c r="J650" s="536">
        <f ca="1">IFERROR(__xludf.DUMMYFUNCTION("IMPORTRANGE(""https://docs.google.com/spreadsheets/d/1SX6NBoVAgQJ6U1MVXOaj8PK2l7WJ3RER9xtqwdhxkhw/edit#gid=346597447"",""ชลบุรี!J545"")"),0)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IFERROR(__xludf.DUMMYFUNCTION("IMPORTRANGE(""https://docs.google.com/spreadsheets/d/1SX6NBoVAgQJ6U1MVXOaj8PK2l7WJ3RER9xtqwdhxkhw/edit#gid=346597447"",""ชลบุรี!L545"")"),0)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IFERROR(__xludf.DUMMYFUNCTION("IMPORTRANGE(""https://docs.google.com/spreadsheets/d/1SX6NBoVAgQJ6U1MVXOaj8PK2l7WJ3RER9xtqwdhxkhw/edit#gid=346597447"",""ชลบุรี!M545"")"),0)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IFERROR(__xludf.DUMMYFUNCTION("IMPORTRANGE(""https://docs.google.com/spreadsheets/d/1SX6NBoVAgQJ6U1MVXOaj8PK2l7WJ3RER9xtqwdhxkhw/edit#gid=346597447"",""ชลบุรี!I546"")"),0)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IFERROR(__xludf.DUMMYFUNCTION("IMPORTRANGE(""https://docs.google.com/spreadsheets/d/1SX6NBoVAgQJ6U1MVXOaj8PK2l7WJ3RER9xtqwdhxkhw/edit#gid=346597447"",""ชลบุรี!L546"")"),0)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IFERROR(__xludf.DUMMYFUNCTION("IMPORTRANGE(""https://docs.google.com/spreadsheets/d/1SX6NBoVAgQJ6U1MVXOaj8PK2l7WJ3RER9xtqwdhxkhw/edit#gid=346597447"",""ชลบุรี!M546"")"),0)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IFERROR(__xludf.DUMMYFUNCTION("IMPORTRANGE(""https://docs.google.com/spreadsheets/d/1SX6NBoVAgQJ6U1MVXOaj8PK2l7WJ3RER9xtqwdhxkhw/edit#gid=346597447"",""ชลบุรี!J547"")"),0)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IFERROR(__xludf.DUMMYFUNCTION("IMPORTRANGE(""https://docs.google.com/spreadsheets/d/1SX6NBoVAgQJ6U1MVXOaj8PK2l7WJ3RER9xtqwdhxkhw/edit#gid=346597447"",""ชลบุรี!J548"")"),0)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IFERROR(__xludf.DUMMYFUNCTION("IMPORTRANGE(""https://docs.google.com/spreadsheets/d/1SX6NBoVAgQJ6U1MVXOaj8PK2l7WJ3RER9xtqwdhxkhw/edit#gid=346597447"",""ชลบุรี!J550"")"),0)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IFERROR(__xludf.DUMMYFUNCTION("IMPORTRANGE(""https://docs.google.com/spreadsheets/d/1SX6NBoVAgQJ6U1MVXOaj8PK2l7WJ3RER9xtqwdhxkhw/edit#gid=346597447"",""ชลบุรี!J551"")"),0)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IFERROR(__xludf.DUMMYFUNCTION("IMPORTRANGE(""https://docs.google.com/spreadsheets/d/1SX6NBoVAgQJ6U1MVXOaj8PK2l7WJ3RER9xtqwdhxkhw/edit#gid=346597447"",""ชลบุรี!J552"")"),0)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IFERROR(__xludf.DUMMYFUNCTION("IMPORTRANGE(""https://docs.google.com/spreadsheets/d/1SX6NBoVAgQJ6U1MVXOaj8PK2l7WJ3RER9xtqwdhxkhw/edit#gid=346597447"",""ชลบุรี!J553"")"),0)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IFERROR(__xludf.DUMMYFUNCTION("IMPORTRANGE(""https://docs.google.com/spreadsheets/d/1SX6NBoVAgQJ6U1MVXOaj8PK2l7WJ3RER9xtqwdhxkhw/edit#gid=346597447"",""ชลบุรี!J554"")"),0)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IFERROR(__xludf.DUMMYFUNCTION("IMPORTRANGE(""https://docs.google.com/spreadsheets/d/1SX6NBoVAgQJ6U1MVXOaj8PK2l7WJ3RER9xtqwdhxkhw/edit#gid=346597447"",""ชลบุรี!J555"")"),0)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IFERROR(__xludf.DUMMYFUNCTION("IMPORTRANGE(""https://docs.google.com/spreadsheets/d/1SX6NBoVAgQJ6U1MVXOaj8PK2l7WJ3RER9xtqwdhxkhw/edit#gid=346597447"",""ชลบุรี!J556"")"),0)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IFERROR(__xludf.DUMMYFUNCTION("IMPORTRANGE(""https://docs.google.com/spreadsheets/d/1SX6NBoVAgQJ6U1MVXOaj8PK2l7WJ3RER9xtqwdhxkhw/edit#gid=346597447"",""ชลบุรี!L556"")"),0)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IFERROR(__xludf.DUMMYFUNCTION("IMPORTRANGE(""https://docs.google.com/spreadsheets/d/1SX6NBoVAgQJ6U1MVXOaj8PK2l7WJ3RER9xtqwdhxkhw/edit#gid=346597447"",""ชลบุรี!M556"")"),0)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IFERROR(__xludf.DUMMYFUNCTION("IMPORTRANGE(""https://docs.google.com/spreadsheets/d/1SX6NBoVAgQJ6U1MVXOaj8PK2l7WJ3RER9xtqwdhxkhw/edit#gid=346597447"",""ชลบุรี!J557"")"),0)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IFERROR(__xludf.DUMMYFUNCTION("IMPORTRANGE(""https://docs.google.com/spreadsheets/d/1SX6NBoVAgQJ6U1MVXOaj8PK2l7WJ3RER9xtqwdhxkhw/edit#gid=346597447"",""ชลบุรี!I558"")"),0)</f>
        <v>0</v>
      </c>
      <c r="J663" s="536">
        <f ca="1">IFERROR(__xludf.DUMMYFUNCTION("IMPORTRANGE(""https://docs.google.com/spreadsheets/d/1SX6NBoVAgQJ6U1MVXOaj8PK2l7WJ3RER9xtqwdhxkhw/edit#gid=346597447"",""ชลบุรี!J558"")"),0)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IFERROR(__xludf.DUMMYFUNCTION("IMPORTRANGE(""https://docs.google.com/spreadsheets/d/1SX6NBoVAgQJ6U1MVXOaj8PK2l7WJ3RER9xtqwdhxkhw/edit#gid=346597447"",""ชลบุรี!I560"")"),0)</f>
        <v>0</v>
      </c>
      <c r="J665" s="536">
        <f ca="1">IFERROR(__xludf.DUMMYFUNCTION("IMPORTRANGE(""https://docs.google.com/spreadsheets/d/1SX6NBoVAgQJ6U1MVXOaj8PK2l7WJ3RER9xtqwdhxkhw/edit#gid=346597447"",""ชลบุรี!J560"")"),0)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IFERROR(__xludf.DUMMYFUNCTION("IMPORTRANGE(""https://docs.google.com/spreadsheets/d/1SX6NBoVAgQJ6U1MVXOaj8PK2l7WJ3RER9xtqwdhxkhw/edit#gid=346597447"",""ชลบุรี!L560"")"),0)</f>
        <v>0</v>
      </c>
      <c r="M665" s="521"/>
      <c r="N665" s="538">
        <f ca="1">IFERROR(__xludf.DUMMYFUNCTION("IMPORTRANGE(""https://docs.google.com/spreadsheets/d/1SX6NBoVAgQJ6U1MVXOaj8PK2l7WJ3RER9xtqwdhxkhw/edit#gid=346597447"",""ชลบุรี!M560"")"),0)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IFERROR(__xludf.DUMMYFUNCTION("IMPORTRANGE(""https://docs.google.com/spreadsheets/d/1SX6NBoVAgQJ6U1MVXOaj8PK2l7WJ3RER9xtqwdhxkhw/edit#gid=346597447"",""ชลบุรี!J561"")"),0)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IFERROR(__xludf.DUMMYFUNCTION("IMPORTRANGE(""https://docs.google.com/spreadsheets/d/1SX6NBoVAgQJ6U1MVXOaj8PK2l7WJ3RER9xtqwdhxkhw/edit#gid=346597447"",""ชลบุรี!J562"")"),0)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IFERROR(__xludf.DUMMYFUNCTION("IMPORTRANGE(""https://docs.google.com/spreadsheets/d/1SX6NBoVAgQJ6U1MVXOaj8PK2l7WJ3RER9xtqwdhxkhw/edit#gid=346597447"",""ชลบุรี!I563"")"),0)</f>
        <v>0</v>
      </c>
      <c r="J668" s="536">
        <f ca="1">IFERROR(__xludf.DUMMYFUNCTION("IMPORTRANGE(""https://docs.google.com/spreadsheets/d/1SX6NBoVAgQJ6U1MVXOaj8PK2l7WJ3RER9xtqwdhxkhw/edit#gid=346597447"",""ชลบุรี!J563"")"),0)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IFERROR(__xludf.DUMMYFUNCTION("IMPORTRANGE(""https://docs.google.com/spreadsheets/d/1SX6NBoVAgQJ6U1MVXOaj8PK2l7WJ3RER9xtqwdhxkhw/edit#gid=346597447"",""ชลบุรี!L563"")"),0)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IFERROR(__xludf.DUMMYFUNCTION("IMPORTRANGE(""https://docs.google.com/spreadsheets/d/1SX6NBoVAgQJ6U1MVXOaj8PK2l7WJ3RER9xtqwdhxkhw/edit#gid=346597447"",""ชลบุรี!M563"")"),0)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IFERROR(__xludf.DUMMYFUNCTION("IMPORTRANGE(""https://docs.google.com/spreadsheets/d/1SX6NBoVAgQJ6U1MVXOaj8PK2l7WJ3RER9xtqwdhxkhw/edit#gid=346597447"",""ชลบุรี!J564"")"),0)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IFERROR(__xludf.DUMMYFUNCTION("IMPORTRANGE(""https://docs.google.com/spreadsheets/d/1SX6NBoVAgQJ6U1MVXOaj8PK2l7WJ3RER9xtqwdhxkhw/edit#gid=346597447"",""ชลบุรี!J565"")"),0)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IFERROR(__xludf.DUMMYFUNCTION("IMPORTRANGE(""https://docs.google.com/spreadsheets/d/1SX6NBoVAgQJ6U1MVXOaj8PK2l7WJ3RER9xtqwdhxkhw/edit#gid=346597447"",""ชลบุรี!I566"")"),0)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IFERROR(__xludf.DUMMYFUNCTION("IMPORTRANGE(""https://docs.google.com/spreadsheets/d/1SX6NBoVAgQJ6U1MVXOaj8PK2l7WJ3RER9xtqwdhxkhw/edit#gid=346597447"",""ชลบุรี!L566"")"),0)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IFERROR(__xludf.DUMMYFUNCTION("IMPORTRANGE(""https://docs.google.com/spreadsheets/d/1SX6NBoVAgQJ6U1MVXOaj8PK2l7WJ3RER9xtqwdhxkhw/edit#gid=346597447"",""ชลบุรี!M566"")"),0)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IFERROR(__xludf.DUMMYFUNCTION("IMPORTRANGE(""https://docs.google.com/spreadsheets/d/1SX6NBoVAgQJ6U1MVXOaj8PK2l7WJ3RER9xtqwdhxkhw/edit#gid=346597447"",""ชลบุรี!J567"")"),0)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IFERROR(__xludf.DUMMYFUNCTION("IMPORTRANGE(""https://docs.google.com/spreadsheets/d/1SX6NBoVAgQJ6U1MVXOaj8PK2l7WJ3RER9xtqwdhxkhw/edit#gid=346597447"",""ชลบุรี!J568"")"),0)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IFERROR(__xludf.DUMMYFUNCTION("IMPORTRANGE(""https://docs.google.com/spreadsheets/d/1SX6NBoVAgQJ6U1MVXOaj8PK2l7WJ3RER9xtqwdhxkhw/edit#gid=346597447"",""ชลบุรี!J569"")"),0)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IFERROR(__xludf.DUMMYFUNCTION("IMPORTRANGE(""https://docs.google.com/spreadsheets/d/1SX6NBoVAgQJ6U1MVXOaj8PK2l7WJ3RER9xtqwdhxkhw/edit#gid=346597447"",""ชลบุรี!J570"")"),0)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IFERROR(__xludf.DUMMYFUNCTION("IMPORTRANGE(""https://docs.google.com/spreadsheets/d/1SX6NBoVAgQJ6U1MVXOaj8PK2l7WJ3RER9xtqwdhxkhw/edit#gid=346597447"",""ชลบุรี!J571"")"),0)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IFERROR(__xludf.DUMMYFUNCTION("IMPORTRANGE(""https://docs.google.com/spreadsheets/d/1SX6NBoVAgQJ6U1MVXOaj8PK2l7WJ3RER9xtqwdhxkhw/edit#gid=346597447"",""ชลบุรี!J572"")"),0)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3431069</v>
      </c>
      <c r="M8" s="23">
        <f t="shared" ca="1" si="0"/>
        <v>2040207.12</v>
      </c>
      <c r="N8" s="23">
        <f t="shared" ca="1" si="0"/>
        <v>2003214.97</v>
      </c>
      <c r="O8" s="22">
        <f t="shared" ref="O8:O16" ca="1" si="1">IF(L8&gt;0,N8*100/L8,0)</f>
        <v>58.384572563244866</v>
      </c>
      <c r="P8" s="22">
        <f t="shared" ref="P8:P16" ca="1" si="2">IF(M8&gt;0,N8*100/M8,0)</f>
        <v>98.186843402448275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3431069</v>
      </c>
      <c r="M10" s="30">
        <f t="shared" ca="1" si="4"/>
        <v>2040207.12</v>
      </c>
      <c r="N10" s="30">
        <f t="shared" ca="1" si="4"/>
        <v>2003214.97</v>
      </c>
      <c r="O10" s="29">
        <f t="shared" ca="1" si="1"/>
        <v>58.384572563244866</v>
      </c>
      <c r="P10" s="29">
        <f t="shared" ca="1" si="2"/>
        <v>98.186843402448275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3292069</v>
      </c>
      <c r="M12" s="38">
        <f t="shared" ca="1" si="6"/>
        <v>1901207.12</v>
      </c>
      <c r="N12" s="38">
        <f t="shared" ca="1" si="6"/>
        <v>1864214.97</v>
      </c>
      <c r="O12" s="38">
        <f t="shared" ca="1" si="1"/>
        <v>56.627457383183646</v>
      </c>
      <c r="P12" s="38">
        <f t="shared" ca="1" si="2"/>
        <v>98.054280903387308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1709269</v>
      </c>
      <c r="M14" s="38">
        <f t="shared" si="8"/>
        <v>0</v>
      </c>
      <c r="N14" s="38">
        <f t="shared" ca="1" si="8"/>
        <v>475145</v>
      </c>
      <c r="O14" s="38">
        <f t="shared" ca="1" si="1"/>
        <v>27.798140608646154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2597395</v>
      </c>
      <c r="M18" s="23">
        <f t="shared" ca="1" si="11"/>
        <v>2040207.12</v>
      </c>
      <c r="N18" s="23">
        <f t="shared" ca="1" si="11"/>
        <v>1528069.97</v>
      </c>
      <c r="O18" s="22">
        <f t="shared" ref="O18:O20" ca="1" si="12">IF(L18&gt;0,N18*100/L18,0)</f>
        <v>58.830865925282829</v>
      </c>
      <c r="P18" s="22">
        <f t="shared" ref="P18:P26" ca="1" si="13">IF(M18&gt;0,N18*100/M18,0)</f>
        <v>74.897786358083096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2597395</v>
      </c>
      <c r="M20" s="30">
        <f t="shared" ca="1" si="15"/>
        <v>2040207.12</v>
      </c>
      <c r="N20" s="30">
        <f t="shared" ca="1" si="15"/>
        <v>1528069.97</v>
      </c>
      <c r="O20" s="29">
        <f t="shared" ca="1" si="12"/>
        <v>58.830865925282829</v>
      </c>
      <c r="P20" s="29">
        <f t="shared" ca="1" si="13"/>
        <v>74.897786358083096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2458395</v>
      </c>
      <c r="M22" s="41">
        <f t="shared" ca="1" si="18"/>
        <v>1901207.12</v>
      </c>
      <c r="N22" s="38">
        <f t="shared" ca="1" si="18"/>
        <v>1389069.97</v>
      </c>
      <c r="O22" s="38">
        <f t="shared" ca="1" si="17"/>
        <v>56.503123786047404</v>
      </c>
      <c r="P22" s="38">
        <f t="shared" ca="1" si="13"/>
        <v>73.062527243217971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875595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833674</v>
      </c>
      <c r="M28" s="23">
        <f t="shared" si="23"/>
        <v>0</v>
      </c>
      <c r="N28" s="23">
        <f t="shared" ca="1" si="23"/>
        <v>475145</v>
      </c>
      <c r="O28" s="22">
        <f t="shared" ref="O28:O30" ca="1" si="24">IF(L28&gt;0,N28*100/L28,0)</f>
        <v>56.994100811588225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833674</v>
      </c>
      <c r="M30" s="30">
        <f t="shared" si="27"/>
        <v>0</v>
      </c>
      <c r="N30" s="30">
        <f t="shared" ca="1" si="27"/>
        <v>475145</v>
      </c>
      <c r="O30" s="29">
        <f t="shared" ca="1" si="24"/>
        <v>56.994100811588225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833674</v>
      </c>
      <c r="M32" s="38">
        <f t="shared" si="30"/>
        <v>0</v>
      </c>
      <c r="N32" s="38">
        <f t="shared" ca="1" si="30"/>
        <v>475145</v>
      </c>
      <c r="O32" s="38">
        <f t="shared" ca="1" si="29"/>
        <v>56.994100811588225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833674</v>
      </c>
      <c r="M34" s="38">
        <f t="shared" si="32"/>
        <v>0</v>
      </c>
      <c r="N34" s="38">
        <f t="shared" ca="1" si="32"/>
        <v>475145</v>
      </c>
      <c r="O34" s="38">
        <f t="shared" ca="1" si="29"/>
        <v>56.994100811588225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2597395</v>
      </c>
      <c r="M37" s="54">
        <f t="shared" ca="1" si="33"/>
        <v>2040207.12</v>
      </c>
      <c r="N37" s="54">
        <f t="shared" ca="1" si="33"/>
        <v>1528069.97</v>
      </c>
      <c r="O37" s="55">
        <f t="shared" ca="1" si="29"/>
        <v>58.830865925282829</v>
      </c>
      <c r="P37" s="55">
        <f t="shared" ca="1" si="25"/>
        <v>74.897786358083096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465100</v>
      </c>
      <c r="N41" s="78">
        <f t="shared" ca="1" si="34"/>
        <v>339034.71</v>
      </c>
      <c r="O41" s="77">
        <f t="shared" ref="O41:O43" ca="1" si="35">IF(L41&gt;0,N41*100/L41,0)</f>
        <v>54.683017741935487</v>
      </c>
      <c r="P41" s="77">
        <f t="shared" ref="P41:P43" ca="1" si="36">IF(M41&gt;0,N41*100/M41,0)</f>
        <v>72.895013975489135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465100</v>
      </c>
      <c r="N43" s="78">
        <f t="shared" ca="1" si="38"/>
        <v>339034.71</v>
      </c>
      <c r="O43" s="77">
        <f t="shared" ca="1" si="35"/>
        <v>54.683017741935487</v>
      </c>
      <c r="P43" s="77">
        <f t="shared" ca="1" si="36"/>
        <v>72.895013975489135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IFERROR(__xludf.DUMMYFUNCTION("IMPORTRANGE(""https://docs.google.com/spreadsheets/d/1Yj_ptqi66GCucihVvJfMjLAmec39IyEx_6qawtMGysU/edit?usp=sharing"",""สบก!Q63"")"),465100)</f>
        <v>465100</v>
      </c>
      <c r="N45" s="49">
        <f ca="1">IFERROR(__xludf.DUMMYFUNCTION("IMPORTRANGE(""https://docs.google.com/spreadsheets/d/1Yj_ptqi66GCucihVvJfMjLAmec39IyEx_6qawtMGysU/edit?usp=sharing"",""สบก!R63"")"),339034.71)</f>
        <v>339034.71</v>
      </c>
      <c r="O45" s="38">
        <f ca="1">IF(L45&gt;0,N45*100/L45,0)</f>
        <v>54.683017741935487</v>
      </c>
      <c r="P45" s="38">
        <f ca="1">IF(M45&gt;0,N45*100/M45,0)</f>
        <v>72.895013975489135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280187.12</v>
      </c>
      <c r="N53" s="121">
        <f t="shared" ca="1" si="39"/>
        <v>183953</v>
      </c>
      <c r="O53" s="120">
        <f t="shared" ref="O53:O55" ca="1" si="40">IF(L53&gt;0,N53*100/L53,0)</f>
        <v>51.78856981981982</v>
      </c>
      <c r="P53" s="120">
        <f t="shared" ref="P53:P55" ca="1" si="41">IF(M53&gt;0,N53*100/M53,0)</f>
        <v>65.653624620574988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280187.12</v>
      </c>
      <c r="N55" s="121">
        <f t="shared" ca="1" si="43"/>
        <v>183953</v>
      </c>
      <c r="O55" s="120">
        <f t="shared" ca="1" si="40"/>
        <v>51.78856981981982</v>
      </c>
      <c r="P55" s="120">
        <f t="shared" ca="1" si="41"/>
        <v>65.653624620574988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IFERROR(__xludf.DUMMYFUNCTION("IMPORTRANGE(""https://docs.google.com/spreadsheets/d/1Yj_ptqi66GCucihVvJfMjLAmec39IyEx_6qawtMGysU/edit?usp=sharing"",""สบก!Z63"")"),280187.12)</f>
        <v>280187.12</v>
      </c>
      <c r="N57" s="49">
        <f ca="1">IFERROR(__xludf.DUMMYFUNCTION("IMPORTRANGE(""https://docs.google.com/spreadsheets/d/1Yj_ptqi66GCucihVvJfMjLAmec39IyEx_6qawtMGysU/edit?usp=sharing"",""สบก!AA63"")"),183953)</f>
        <v>183953</v>
      </c>
      <c r="O57" s="38">
        <f ca="1">IF(L57&gt;0,N57*100/L57,0)</f>
        <v>51.78856981981982</v>
      </c>
      <c r="P57" s="38">
        <f ca="1">IF(M57&gt;0,N57*100/M57,0)</f>
        <v>65.653624620574988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371020</v>
      </c>
      <c r="N66" s="152">
        <f t="shared" ca="1" si="45"/>
        <v>292735</v>
      </c>
      <c r="O66" s="151">
        <f t="shared" ref="O66:O68" ca="1" si="46">IF(L66&gt;0,N66*100/L66,0)</f>
        <v>64.507492287351255</v>
      </c>
      <c r="P66" s="151">
        <f t="shared" ref="P66:P68" ca="1" si="47">IF(M66&gt;0,N66*100/M66,0)</f>
        <v>78.900059295994822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371020</v>
      </c>
      <c r="N68" s="157">
        <f t="shared" ca="1" si="49"/>
        <v>292735</v>
      </c>
      <c r="O68" s="156">
        <f t="shared" ca="1" si="46"/>
        <v>64.507492287351255</v>
      </c>
      <c r="P68" s="156">
        <f t="shared" ca="1" si="47"/>
        <v>78.900059295994822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453800</v>
      </c>
      <c r="M70" s="168">
        <f ca="1">IFERROR(__xludf.DUMMYFUNCTION("IMPORTRANGE(""https://docs.google.com/spreadsheets/d/1Yj_ptqi66GCucihVvJfMjLAmec39IyEx_6qawtMGysU/edit?usp=sharing"",""สบก!AI63"")"),371020)</f>
        <v>371020</v>
      </c>
      <c r="N70" s="169">
        <f ca="1">IFERROR(__xludf.DUMMYFUNCTION("IMPORTRANGE(""https://docs.google.com/spreadsheets/d/1Yj_ptqi66GCucihVvJfMjLAmec39IyEx_6qawtMGysU/edit?usp=sharing"",""สบก!AJ63"")"),292735)</f>
        <v>292735</v>
      </c>
      <c r="O70" s="169">
        <f ca="1">IF(L70&gt;0,N70*100/L70,0)</f>
        <v>64.507492287351255</v>
      </c>
      <c r="P70" s="169">
        <f ca="1">IF(M70&gt;0,N70*100/M70,0)</f>
        <v>78.900059295994822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IFERROR(__xludf.DUMMYFUNCTION("IMPORTRANGE(""https://docs.google.com/spreadsheets/d/1SX6NBoVAgQJ6U1MVXOaj8PK2l7WJ3RER9xtqwdhxkhw/edit?usp=sharing"",""ชัยนาท!I28"")"),0)</f>
        <v>0</v>
      </c>
      <c r="J88" s="204">
        <f ca="1">IFERROR(__xludf.DUMMYFUNCTION("IMPORTRANGE(""https://docs.google.com/spreadsheets/d/1SX6NBoVAgQJ6U1MVXOaj8PK2l7WJ3RER9xtqwdhxkhw/edit?usp=sharing"",""ชัยนาท!J28"")"),0)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IFERROR(__xludf.DUMMYFUNCTION("IMPORTRANGE(""https://docs.google.com/spreadsheets/d/1SX6NBoVAgQJ6U1MVXOaj8PK2l7WJ3RER9xtqwdhxkhw/edit?usp=sharing"",""ชัยนาท!J50"")"),0)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IFERROR(__xludf.DUMMYFUNCTION("IMPORTRANGE(""https://docs.google.com/spreadsheets/d/1SX6NBoVAgQJ6U1MVXOaj8PK2l7WJ3RER9xtqwdhxkhw/edit?usp=sharing"",""ชัยนาท!J65"")"),0)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IFERROR(__xludf.DUMMYFUNCTION("IMPORTRANGE(""https://docs.google.com/spreadsheets/d/1SX6NBoVAgQJ6U1MVXOaj8PK2l7WJ3RER9xtqwdhxkhw/edit?usp=sharing"",""ชัยนาท!I68"")"),15)</f>
        <v>15</v>
      </c>
      <c r="J138" s="267">
        <f ca="1">IFERROR(__xludf.DUMMYFUNCTION("IMPORTRANGE(""https://docs.google.com/spreadsheets/d/1SX6NBoVAgQJ6U1MVXOaj8PK2l7WJ3RER9xtqwdhxkhw/edit?usp=sharing"",""ชัยนาท!J68"")"),15)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264400</v>
      </c>
      <c r="M140" s="152">
        <f t="shared" ca="1" si="64"/>
        <v>207425</v>
      </c>
      <c r="N140" s="152">
        <f t="shared" ca="1" si="64"/>
        <v>119483.26</v>
      </c>
      <c r="O140" s="151">
        <f t="shared" ref="O140:O142" ca="1" si="65">IF(L140&gt;0,N140*100/L140,0)</f>
        <v>45.190340393343419</v>
      </c>
      <c r="P140" s="151">
        <f t="shared" ref="P140:P142" ca="1" si="66">IF(M140&gt;0,N140*100/M140,0)</f>
        <v>57.603114378691096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264400</v>
      </c>
      <c r="M142" s="157">
        <f t="shared" ca="1" si="68"/>
        <v>207425</v>
      </c>
      <c r="N142" s="157">
        <f t="shared" ca="1" si="68"/>
        <v>119483.26</v>
      </c>
      <c r="O142" s="156">
        <f t="shared" ca="1" si="65"/>
        <v>45.190340393343419</v>
      </c>
      <c r="P142" s="156">
        <f t="shared" ca="1" si="66"/>
        <v>57.603114378691096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264400</v>
      </c>
      <c r="M144" s="168">
        <f ca="1">IFERROR(__xludf.DUMMYFUNCTION("IMPORTRANGE(""https://docs.google.com/spreadsheets/d/1Yj_ptqi66GCucihVvJfMjLAmec39IyEx_6qawtMGysU/edit?usp=sharing"",""สบก!BJ63"")"),207425)</f>
        <v>207425</v>
      </c>
      <c r="N144" s="169">
        <f ca="1">IFERROR(__xludf.DUMMYFUNCTION("IMPORTRANGE(""https://docs.google.com/spreadsheets/d/1Yj_ptqi66GCucihVvJfMjLAmec39IyEx_6qawtMGysU/edit?usp=sharing"",""สบก!BK63"")"),119483.26)</f>
        <v>119483.26</v>
      </c>
      <c r="O144" s="169">
        <f ca="1">IF(L144&gt;0,N144*100/L144,0)</f>
        <v>45.190340393343419</v>
      </c>
      <c r="P144" s="169">
        <f ca="1">IF(M144&gt;0,N144*100/M144,0)</f>
        <v>57.603114378691096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IFERROR(__xludf.DUMMYFUNCTION("IMPORTRANGE(""https://docs.google.com/spreadsheets/d/1Yj_ptqi66GCucihVvJfMjLAmec39IyEx_6qawtMGysU/edit?usp=sharing"",""สบก!BG63"")"),44600)</f>
        <v>44600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IFERROR(__xludf.DUMMYFUNCTION("IMPORTRANGE(""https://docs.google.com/spreadsheets/d/1SX6NBoVAgQJ6U1MVXOaj8PK2l7WJ3RER9xtqwdhxkhw/edit?usp=sharing"",""ชัยนาท!I74"")"),4)</f>
        <v>4</v>
      </c>
      <c r="J149" s="275">
        <f ca="1">IFERROR(__xludf.DUMMYFUNCTION("IMPORTRANGE(""https://docs.google.com/spreadsheets/d/1SX6NBoVAgQJ6U1MVXOaj8PK2l7WJ3RER9xtqwdhxkhw/edit?usp=sharing"",""ชัยนาท!J74"")"),2)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IFERROR(__xludf.DUMMYFUNCTION("IMPORTRANGE(""https://docs.google.com/spreadsheets/d/1SX6NBoVAgQJ6U1MVXOaj8PK2l7WJ3RER9xtqwdhxkhw/edit?usp=sharing"",""ชัยนาท!J84"")"),149)</f>
        <v>149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IFERROR(__xludf.DUMMYFUNCTION("IMPORTRANGE(""https://docs.google.com/spreadsheets/d/1SX6NBoVAgQJ6U1MVXOaj8PK2l7WJ3RER9xtqwdhxkhw/edit?usp=sharing"",""ชัยนาท!J85"")"),149)</f>
        <v>149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IFERROR(__xludf.DUMMYFUNCTION("IMPORTRANGE(""https://docs.google.com/spreadsheets/d/1SX6NBoVAgQJ6U1MVXOaj8PK2l7WJ3RER9xtqwdhxkhw/edit?usp=sharing"",""ชัยนาท!J88"")"),0)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IFERROR(__xludf.DUMMYFUNCTION("IMPORTRANGE(""https://docs.google.com/spreadsheets/d/1SX6NBoVAgQJ6U1MVXOaj8PK2l7WJ3RER9xtqwdhxkhw/edit?usp=sharing"",""ชัยนาท!I89"")"),1)</f>
        <v>1</v>
      </c>
      <c r="J164" s="284">
        <f ca="1">IFERROR(__xludf.DUMMYFUNCTION("IMPORTRANGE(""https://docs.google.com/spreadsheets/d/1SX6NBoVAgQJ6U1MVXOaj8PK2l7WJ3RER9xtqwdhxkhw/edit?usp=sharing"",""ชัยนาท!J89"")"),1)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IFERROR(__xludf.DUMMYFUNCTION("IMPORTRANGE(""https://docs.google.com/spreadsheets/d/1SX6NBoVAgQJ6U1MVXOaj8PK2l7WJ3RER9xtqwdhxkhw/edit?usp=sharing"",""ชัยนาท!J100"")"),0)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IFERROR(__xludf.DUMMYFUNCTION("IMPORTRANGE(""https://docs.google.com/spreadsheets/d/1SX6NBoVAgQJ6U1MVXOaj8PK2l7WJ3RER9xtqwdhxkhw/edit?usp=sharing"",""ชัยนาท!I101"")"),0)</f>
        <v>0</v>
      </c>
      <c r="J176" s="284">
        <f ca="1">IFERROR(__xludf.DUMMYFUNCTION("IMPORTRANGE(""https://docs.google.com/spreadsheets/d/1SX6NBoVAgQJ6U1MVXOaj8PK2l7WJ3RER9xtqwdhxkhw/edit?usp=sharing"",""ชัยนาท!J101"")"),0)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IFERROR(__xludf.DUMMYFUNCTION("IMPORTRANGE(""https://docs.google.com/spreadsheets/d/1SX6NBoVAgQJ6U1MVXOaj8PK2l7WJ3RER9xtqwdhxkhw/edit?usp=sharing"",""ชัยนาท!J113"")"),0)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IFERROR(__xludf.DUMMYFUNCTION("IMPORTRANGE(""https://docs.google.com/spreadsheets/d/1SX6NBoVAgQJ6U1MVXOaj8PK2l7WJ3RER9xtqwdhxkhw/edit?usp=sharing"",""ชัยนาท!I114"")"),12800)</f>
        <v>12800</v>
      </c>
      <c r="J189" s="284">
        <f ca="1">IFERROR(__xludf.DUMMYFUNCTION("IMPORTRANGE(""https://docs.google.com/spreadsheets/d/1SX6NBoVAgQJ6U1MVXOaj8PK2l7WJ3RER9xtqwdhxkhw/edit?usp=sharing"",""ชัยนาท!J114"")"),0)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IFERROR(__xludf.DUMMYFUNCTION("IMPORTRANGE(""https://docs.google.com/spreadsheets/d/1SX6NBoVAgQJ6U1MVXOaj8PK2l7WJ3RER9xtqwdhxkhw/edit?usp=sharing"",""ชัยนาท!J128"")"),0)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IFERROR(__xludf.DUMMYFUNCTION("IMPORTRANGE(""https://docs.google.com/spreadsheets/d/1SX6NBoVAgQJ6U1MVXOaj8PK2l7WJ3RER9xtqwdhxkhw/edit?usp=sharing"",""ชัยนาท!I129"")"),0)</f>
        <v>0</v>
      </c>
      <c r="J204" s="284">
        <f ca="1">IFERROR(__xludf.DUMMYFUNCTION("IMPORTRANGE(""https://docs.google.com/spreadsheets/d/1SX6NBoVAgQJ6U1MVXOaj8PK2l7WJ3RER9xtqwdhxkhw/edit?usp=sharing"",""ชัยนาท!J129"")"),0)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IFERROR(__xludf.DUMMYFUNCTION("IMPORTRANGE(""https://docs.google.com/spreadsheets/d/1SX6NBoVAgQJ6U1MVXOaj8PK2l7WJ3RER9xtqwdhxkhw/edit?usp=sharing"",""ชัยนาท!J143"")"),0)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IFERROR(__xludf.DUMMYFUNCTION("IMPORTRANGE(""https://docs.google.com/spreadsheets/d/1SX6NBoVAgQJ6U1MVXOaj8PK2l7WJ3RER9xtqwdhxkhw/edit?usp=sharing"",""ชัยนาท!I144"")"),13)</f>
        <v>13</v>
      </c>
      <c r="J219" s="267">
        <f ca="1">IFERROR(__xludf.DUMMYFUNCTION("IMPORTRANGE(""https://docs.google.com/spreadsheets/d/1SX6NBoVAgQJ6U1MVXOaj8PK2l7WJ3RER9xtqwdhxkhw/edit?usp=sharing"",""ชัยนาท!J144"")"),13)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IFERROR(__xludf.DUMMYFUNCTION("IMPORTRANGE(""https://docs.google.com/spreadsheets/d/1SX6NBoVAgQJ6U1MVXOaj8PK2l7WJ3RER9xtqwdhxkhw/edit?usp=sharing"",""ชัยนาท!I149"")"),13)</f>
        <v>13</v>
      </c>
      <c r="J229" s="267">
        <f ca="1">IFERROR(__xludf.DUMMYFUNCTION("IMPORTRANGE(""https://docs.google.com/spreadsheets/d/1SX6NBoVAgQJ6U1MVXOaj8PK2l7WJ3RER9xtqwdhxkhw/edit?usp=sharing"",""ชัยนาท!J149"")"),13)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IFERROR(__xludf.DUMMYFUNCTION("IMPORTRANGE(""https://docs.google.com/spreadsheets/d/1SX6NBoVAgQJ6U1MVXOaj8PK2l7WJ3RER9xtqwdhxkhw/edit?usp=sharing"",""ชัยนาท!J157"")"),0)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IFERROR(__xludf.DUMMYFUNCTION("IMPORTRANGE(""https://docs.google.com/spreadsheets/d/1SX6NBoVAgQJ6U1MVXOaj8PK2l7WJ3RER9xtqwdhxkhw/edit?usp=sharing"",""ชัยนาท!I158"")"),0)</f>
        <v>0</v>
      </c>
      <c r="J238" s="267">
        <f ca="1">IFERROR(__xludf.DUMMYFUNCTION("IMPORTRANGE(""https://docs.google.com/spreadsheets/d/1SX6NBoVAgQJ6U1MVXOaj8PK2l7WJ3RER9xtqwdhxkhw/edit?usp=sharing"",""ชัยนาท!J158"")"),0)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IFERROR(__xludf.DUMMYFUNCTION("IMPORTRANGE(""https://docs.google.com/spreadsheets/d/1SX6NBoVAgQJ6U1MVXOaj8PK2l7WJ3RER9xtqwdhxkhw/edit?usp=sharing"",""ชัยนาท!J166"")"),0)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IFERROR(__xludf.DUMMYFUNCTION("IMPORTRANGE(""https://docs.google.com/spreadsheets/d/1SX6NBoVAgQJ6U1MVXOaj8PK2l7WJ3RER9xtqwdhxkhw/edit?usp=sharing"",""ชัยนาท!I169"")"),20)</f>
        <v>20</v>
      </c>
      <c r="J249" s="316">
        <f ca="1">IFERROR(__xludf.DUMMYFUNCTION("IMPORTRANGE(""https://docs.google.com/spreadsheets/d/1SX6NBoVAgQJ6U1MVXOaj8PK2l7WJ3RER9xtqwdhxkhw/edit?usp=sharing"",""ชัยนาท!J169"")"),20)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32280</v>
      </c>
      <c r="O250" s="151">
        <f t="shared" ref="O250:O252" ca="1" si="78">IF(L250&gt;0,N250*100/L250,0)</f>
        <v>45.210084033613448</v>
      </c>
      <c r="P250" s="151">
        <f t="shared" ref="P250:P252" ca="1" si="79">IF(M250&gt;0,N250*100/M250,0)</f>
        <v>76.857142857142861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32280</v>
      </c>
      <c r="O252" s="156">
        <f t="shared" ca="1" si="78"/>
        <v>45.210084033613448</v>
      </c>
      <c r="P252" s="156">
        <f t="shared" ca="1" si="79"/>
        <v>76.857142857142861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IFERROR(__xludf.DUMMYFUNCTION("IMPORTRANGE(""https://docs.google.com/spreadsheets/d/1Yj_ptqi66GCucihVvJfMjLAmec39IyEx_6qawtMGysU/edit?usp=sharing"",""สบก!CB63"")"),42000)</f>
        <v>42000</v>
      </c>
      <c r="N254" s="169">
        <f ca="1">IFERROR(__xludf.DUMMYFUNCTION("IMPORTRANGE(""https://docs.google.com/spreadsheets/d/1Yj_ptqi66GCucihVvJfMjLAmec39IyEx_6qawtMGysU/edit?usp=sharing"",""สบก!CC63"")"),32280)</f>
        <v>32280</v>
      </c>
      <c r="O254" s="169">
        <f ca="1">IF(L254&gt;0,N254*100/L254,0)</f>
        <v>45.210084033613448</v>
      </c>
      <c r="P254" s="169">
        <f ca="1">IF(M254&gt;0,N254*100/M254,0)</f>
        <v>76.857142857142861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IFERROR(__xludf.DUMMYFUNCTION("IMPORTRANGE(""https://docs.google.com/spreadsheets/d/1SX6NBoVAgQJ6U1MVXOaj8PK2l7WJ3RER9xtqwdhxkhw/edit?usp=sharing"",""ชัยนาท!J184"")"),0)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IFERROR(__xludf.DUMMYFUNCTION("IMPORTRANGE(""https://docs.google.com/spreadsheets/d/1SX6NBoVAgQJ6U1MVXOaj8PK2l7WJ3RER9xtqwdhxkhw/edit?usp=sharing"",""ชัยนาท!I185"")"),15)</f>
        <v>15</v>
      </c>
      <c r="J270" s="316">
        <f ca="1">IFERROR(__xludf.DUMMYFUNCTION("IMPORTRANGE(""https://docs.google.com/spreadsheets/d/1SX6NBoVAgQJ6U1MVXOaj8PK2l7WJ3RER9xtqwdhxkhw/edit?usp=sharing"",""ชัยนาท!J185"")"),15)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165200</v>
      </c>
      <c r="M271" s="152">
        <f t="shared" ca="1" si="83"/>
        <v>143200</v>
      </c>
      <c r="N271" s="152">
        <f t="shared" ca="1" si="83"/>
        <v>88780</v>
      </c>
      <c r="O271" s="151">
        <f t="shared" ref="O271:O273" ca="1" si="84">IF(L271&gt;0,N271*100/L271,0)</f>
        <v>53.7409200968523</v>
      </c>
      <c r="P271" s="151">
        <f t="shared" ref="P271:P273" ca="1" si="85">IF(M271&gt;0,N271*100/M271,0)</f>
        <v>61.997206703910614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165200</v>
      </c>
      <c r="M273" s="157">
        <f t="shared" ca="1" si="87"/>
        <v>143200</v>
      </c>
      <c r="N273" s="157">
        <f t="shared" ca="1" si="87"/>
        <v>88780</v>
      </c>
      <c r="O273" s="156">
        <f t="shared" ca="1" si="84"/>
        <v>53.7409200968523</v>
      </c>
      <c r="P273" s="156">
        <f t="shared" ca="1" si="85"/>
        <v>61.997206703910614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165200</v>
      </c>
      <c r="M275" s="168">
        <f ca="1">IFERROR(__xludf.DUMMYFUNCTION("IMPORTRANGE(""https://docs.google.com/spreadsheets/d/1Yj_ptqi66GCucihVvJfMjLAmec39IyEx_6qawtMGysU/edit?usp=sharing"",""สบก!CK63"")"),143200)</f>
        <v>143200</v>
      </c>
      <c r="N275" s="169">
        <f ca="1">IFERROR(__xludf.DUMMYFUNCTION("IMPORTRANGE(""https://docs.google.com/spreadsheets/d/1Yj_ptqi66GCucihVvJfMjLAmec39IyEx_6qawtMGysU/edit?usp=sharing"",""สบก!CL63"")"),88780)</f>
        <v>88780</v>
      </c>
      <c r="O275" s="169">
        <f ca="1">IF(L275&gt;0,N275*100/L275,0)</f>
        <v>53.7409200968523</v>
      </c>
      <c r="P275" s="169">
        <f ca="1">IF(M275&gt;0,N275*100/M275,0)</f>
        <v>61.997206703910614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IFERROR(__xludf.DUMMYFUNCTION("IMPORTRANGE(""https://docs.google.com/spreadsheets/d/1Yj_ptqi66GCucihVvJfMjLAmec39IyEx_6qawtMGysU/edit?usp=sharing"",""สบก!CH63"")"),165200)</f>
        <v>165200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IFERROR(__xludf.DUMMYFUNCTION("IMPORTRANGE(""https://docs.google.com/spreadsheets/d/1SX6NBoVAgQJ6U1MVXOaj8PK2l7WJ3RER9xtqwdhxkhw/edit?usp=sharing"",""ชัยนาท!I199"")"),0)</f>
        <v>0</v>
      </c>
      <c r="J289" s="316">
        <f ca="1">IFERROR(__xludf.DUMMYFUNCTION("IMPORTRANGE(""https://docs.google.com/spreadsheets/d/1SX6NBoVAgQJ6U1MVXOaj8PK2l7WJ3RER9xtqwdhxkhw/edit?usp=sharing"",""ชัยนาท!J199"")"),0)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IFERROR(__xludf.DUMMYFUNCTION("IMPORTRANGE(""https://docs.google.com/spreadsheets/d/1SX6NBoVAgQJ6U1MVXOaj8PK2l7WJ3RER9xtqwdhxkhw/edit?usp=sharing"",""ชัยนาท!J213"")"),0)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IFERROR(__xludf.DUMMYFUNCTION("IMPORTRANGE(""https://docs.google.com/spreadsheets/d/1SX6NBoVAgQJ6U1MVXOaj8PK2l7WJ3RER9xtqwdhxkhw/edit?usp=sharing"",""ชัยนาท!I214"")"),0)</f>
        <v>0</v>
      </c>
      <c r="J309" s="333">
        <f ca="1">IFERROR(__xludf.DUMMYFUNCTION("IMPORTRANGE(""https://docs.google.com/spreadsheets/d/1SX6NBoVAgQJ6U1MVXOaj8PK2l7WJ3RER9xtqwdhxkhw/edit?usp=sharing"",""ชัยนาท!J214"")"),0)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IFERROR(__xludf.DUMMYFUNCTION("IMPORTRANGE(""https://docs.google.com/spreadsheets/d/1SX6NBoVAgQJ6U1MVXOaj8PK2l7WJ3RER9xtqwdhxkhw/edit?usp=sharing"",""ชัยนาท!J226"")"),0)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IFERROR(__xludf.DUMMYFUNCTION("IMPORTRANGE(""https://docs.google.com/spreadsheets/d/1SX6NBoVAgQJ6U1MVXOaj8PK2l7WJ3RER9xtqwdhxkhw/edit?usp=sharing"",""ชัยนาท!I228"")"),37)</f>
        <v>37</v>
      </c>
      <c r="J328" s="339">
        <f ca="1">IFERROR(__xludf.DUMMYFUNCTION("IMPORTRANGE(""https://docs.google.com/spreadsheets/d/1SX6NBoVAgQJ6U1MVXOaj8PK2l7WJ3RER9xtqwdhxkhw/edit?usp=sharing"",""ชัยนาท!J228"")"),19)</f>
        <v>19</v>
      </c>
      <c r="K328" s="317">
        <f ca="1">IF(I328&gt;0,J328*100/I328,0)</f>
        <v>51.351351351351354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648100</v>
      </c>
      <c r="M329" s="152">
        <f t="shared" ca="1" si="98"/>
        <v>511980</v>
      </c>
      <c r="N329" s="152">
        <f t="shared" ca="1" si="98"/>
        <v>452509</v>
      </c>
      <c r="O329" s="151">
        <f t="shared" ref="O329:O331" ca="1" si="99">IF(L329&gt;0,N329*100/L329,0)</f>
        <v>69.820860978244099</v>
      </c>
      <c r="P329" s="151">
        <f t="shared" ref="P329:P331" ca="1" si="100">IF(M329&gt;0,N329*100/M329,0)</f>
        <v>88.384116567053397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648100</v>
      </c>
      <c r="M331" s="157">
        <f t="shared" ca="1" si="102"/>
        <v>511980</v>
      </c>
      <c r="N331" s="157">
        <f t="shared" ca="1" si="102"/>
        <v>452509</v>
      </c>
      <c r="O331" s="156">
        <f t="shared" ca="1" si="99"/>
        <v>69.820860978244099</v>
      </c>
      <c r="P331" s="156">
        <f t="shared" ca="1" si="100"/>
        <v>88.384116567053397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509100</v>
      </c>
      <c r="M333" s="168">
        <f ca="1">IFERROR(__xludf.DUMMYFUNCTION("IMPORTRANGE(""https://docs.google.com/spreadsheets/d/1Yj_ptqi66GCucihVvJfMjLAmec39IyEx_6qawtMGysU/edit?usp=sharing"",""สบก!DL63"")"),372980)</f>
        <v>372980</v>
      </c>
      <c r="N333" s="169">
        <f ca="1">IFERROR(__xludf.DUMMYFUNCTION("IMPORTRANGE(""https://docs.google.com/spreadsheets/d/1Yj_ptqi66GCucihVvJfMjLAmec39IyEx_6qawtMGysU/edit?usp=sharing"",""สบก!DM63"")"),313509)</f>
        <v>313509</v>
      </c>
      <c r="O333" s="169">
        <f ca="1">IF(L333&gt;0,N333*100/L333,0)</f>
        <v>61.581025338833236</v>
      </c>
      <c r="P333" s="169">
        <f ca="1">IF(M333&gt;0,N333*100/M333,0)</f>
        <v>84.055177221298734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IFERROR(__xludf.DUMMYFUNCTION("IMPORTRANGE(""https://docs.google.com/spreadsheets/d/1Yj_ptqi66GCucihVvJfMjLAmec39IyEx_6qawtMGysU/edit?usp=sharing"",""สบก!DI63"")"),203100)</f>
        <v>203100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IFERROR(__xludf.DUMMYFUNCTION("IMPORTRANGE(""https://docs.google.com/spreadsheets/d/1SX6NBoVAgQJ6U1MVXOaj8PK2l7WJ3RER9xtqwdhxkhw/edit?usp=sharing"",""ชัยนาท!J234"")"),11)</f>
        <v>11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IFERROR(__xludf.DUMMYFUNCTION("IMPORTRANGE(""https://docs.google.com/spreadsheets/d/1SX6NBoVAgQJ6U1MVXOaj8PK2l7WJ3RER9xtqwdhxkhw/edit?usp=sharing"",""ชัยนาท!I235"")"),135)</f>
        <v>135</v>
      </c>
      <c r="J340" s="188">
        <f ca="1">IFERROR(__xludf.DUMMYFUNCTION("IMPORTRANGE(""https://docs.google.com/spreadsheets/d/1SX6NBoVAgQJ6U1MVXOaj8PK2l7WJ3RER9xtqwdhxkhw/edit?usp=sharing"",""ชัยนาท!J235"")"),136.62)</f>
        <v>136.62</v>
      </c>
      <c r="K340" s="342">
        <f t="shared" ca="1" si="103"/>
        <v>101.2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IFERROR(__xludf.DUMMYFUNCTION("IMPORTRANGE(""https://docs.google.com/spreadsheets/d/1SX6NBoVAgQJ6U1MVXOaj8PK2l7WJ3RER9xtqwdhxkhw/edit?usp=sharing"",""ชัยนาท!I236"")"),37)</f>
        <v>37</v>
      </c>
      <c r="J341" s="188">
        <f ca="1">IFERROR(__xludf.DUMMYFUNCTION("IMPORTRANGE(""https://docs.google.com/spreadsheets/d/1SX6NBoVAgQJ6U1MVXOaj8PK2l7WJ3RER9xtqwdhxkhw/edit?usp=sharing"",""ชัยนาท!J236"")"),19)</f>
        <v>19</v>
      </c>
      <c r="K341" s="342">
        <f t="shared" ca="1" si="103"/>
        <v>51.351351351351354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IFERROR(__xludf.DUMMYFUNCTION("IMPORTRANGE(""https://docs.google.com/spreadsheets/d/1SX6NBoVAgQJ6U1MVXOaj8PK2l7WJ3RER9xtqwdhxkhw/edit?usp=sharing"",""ชัยนาท!J237"")"),238.53)</f>
        <v>238.53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IFERROR(__xludf.DUMMYFUNCTION("IMPORTRANGE(""https://docs.google.com/spreadsheets/d/1SX6NBoVAgQJ6U1MVXOaj8PK2l7WJ3RER9xtqwdhxkhw/edit?usp=sharing"",""ชัยนาท!I238"")"),37)</f>
        <v>37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IFERROR(__xludf.DUMMYFUNCTION("IMPORTRANGE(""https://docs.google.com/spreadsheets/d/1SX6NBoVAgQJ6U1MVXOaj8PK2l7WJ3RER9xtqwdhxkhw/edit?usp=sharing"",""ชัยนาท!I240"")"),37)</f>
        <v>37</v>
      </c>
      <c r="J345" s="188">
        <f ca="1">IFERROR(__xludf.DUMMYFUNCTION("IMPORTRANGE(""https://docs.google.com/spreadsheets/d/1SX6NBoVAgQJ6U1MVXOaj8PK2l7WJ3RER9xtqwdhxkhw/edit?usp=sharing"",""ชัยนาท!J240"")"),19)</f>
        <v>19</v>
      </c>
      <c r="K345" s="342">
        <f t="shared" ca="1" si="103"/>
        <v>51.351351351351354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IFERROR(__xludf.DUMMYFUNCTION("IMPORTRANGE(""https://docs.google.com/spreadsheets/d/1SX6NBoVAgQJ6U1MVXOaj8PK2l7WJ3RER9xtqwdhxkhw/edit?usp=sharing"",""ชัยนาท!J241"")"),238.53)</f>
        <v>238.53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IFERROR(__xludf.DUMMYFUNCTION("IMPORTRANGE(""https://docs.google.com/spreadsheets/d/1SX6NBoVAgQJ6U1MVXOaj8PK2l7WJ3RER9xtqwdhxkhw/edit?usp=sharing"",""ชัยนาท!L242"")"),833674)</f>
        <v>833674</v>
      </c>
      <c r="M347" s="358"/>
      <c r="N347" s="358">
        <f ca="1">IFERROR(__xludf.DUMMYFUNCTION("IMPORTRANGE(""https://docs.google.com/spreadsheets/d/1SX6NBoVAgQJ6U1MVXOaj8PK2l7WJ3RER9xtqwdhxkhw/edit?usp=sharing"",""ชัยนาท!M242"")"),475145)</f>
        <v>475145</v>
      </c>
      <c r="O347" s="358">
        <f ca="1">+IF(L347&gt;0,N347*100/L347,0)</f>
        <v>56.994100811588225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IFERROR(__xludf.DUMMYFUNCTION("IMPORTRANGE(""https://docs.google.com/spreadsheets/d/1SX6NBoVAgQJ6U1MVXOaj8PK2l7WJ3RER9xtqwdhxkhw/edit?usp=sharing"",""ชัยนาท!M244"")"),19635)</f>
        <v>19635</v>
      </c>
      <c r="O349" s="373">
        <f ca="1">+IF(L349&gt;0,N349*100/L349,0)</f>
        <v>39.491150442477874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IFERROR(__xludf.DUMMYFUNCTION("IMPORTRANGE(""https://docs.google.com/spreadsheets/d/1SX6NBoVAgQJ6U1MVXOaj8PK2l7WJ3RER9xtqwdhxkhw/edit?usp=sharing"",""ชัยนาท!L247"")"),49720)</f>
        <v>49720</v>
      </c>
      <c r="M352" s="165"/>
      <c r="N352" s="164">
        <f ca="1">IFERROR(__xludf.DUMMYFUNCTION("IMPORTRANGE(""https://docs.google.com/spreadsheets/d/1SX6NBoVAgQJ6U1MVXOaj8PK2l7WJ3RER9xtqwdhxkhw/edit?usp=sharing"",""ชัยนาท!M247"")"),19635)</f>
        <v>19635</v>
      </c>
      <c r="O352" s="165">
        <f t="shared" ca="1" si="105"/>
        <v>39.491150442477874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IFERROR(__xludf.DUMMYFUNCTION("IMPORTRANGE(""https://docs.google.com/spreadsheets/d/1SX6NBoVAgQJ6U1MVXOaj8PK2l7WJ3RER9xtqwdhxkhw/edit?usp=sharing"",""ชัยนาท!L249"")"),49720)</f>
        <v>49720</v>
      </c>
      <c r="M354" s="169"/>
      <c r="N354" s="168">
        <f ca="1">IFERROR(__xludf.DUMMYFUNCTION("IMPORTRANGE(""https://docs.google.com/spreadsheets/d/1SX6NBoVAgQJ6U1MVXOaj8PK2l7WJ3RER9xtqwdhxkhw/edit?usp=sharing"",""ชัยนาท!M249"")"),19635)</f>
        <v>19635</v>
      </c>
      <c r="O354" s="169">
        <f t="shared" ca="1" si="105"/>
        <v>39.491150442477874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IFERROR(__xludf.DUMMYFUNCTION("IMPORTRANGE(""https://docs.google.com/spreadsheets/d/1SX6NBoVAgQJ6U1MVXOaj8PK2l7WJ3RER9xtqwdhxkhw/edit?usp=sharing"",""ชัยนาท!M251"")"),1220)</f>
        <v>1220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IFERROR(__xludf.DUMMYFUNCTION("IMPORTRANGE(""https://docs.google.com/spreadsheets/d/1SX6NBoVAgQJ6U1MVXOaj8PK2l7WJ3RER9xtqwdhxkhw/edit?usp=sharing"",""ชัยนาท!M275"")"),72090)</f>
        <v>72090</v>
      </c>
      <c r="O380" s="373">
        <f ca="1">+IF(L380&gt;0,N380*100/L380,0)</f>
        <v>34.732125650414339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IFERROR(__xludf.DUMMYFUNCTION("IMPORTRANGE(""https://docs.google.com/spreadsheets/d/1SX6NBoVAgQJ6U1MVXOaj8PK2l7WJ3RER9xtqwdhxkhw/edit?usp=sharing"",""ชัยนาท!M278"")"),72090)</f>
        <v>72090</v>
      </c>
      <c r="O383" s="165">
        <f t="shared" ca="1" si="109"/>
        <v>34.732125650414339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IFERROR(__xludf.DUMMYFUNCTION("IMPORTRANGE(""https://docs.google.com/spreadsheets/d/1SX6NBoVAgQJ6U1MVXOaj8PK2l7WJ3RER9xtqwdhxkhw/edit?usp=sharing"",""ชัยนาท!M280"")"),72090)</f>
        <v>72090</v>
      </c>
      <c r="O385" s="169">
        <f t="shared" ca="1" si="109"/>
        <v>34.732125650414339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IFERROR(__xludf.DUMMYFUNCTION("IMPORTRANGE(""https://docs.google.com/spreadsheets/d/1SX6NBoVAgQJ6U1MVXOaj8PK2l7WJ3RER9xtqwdhxkhw/edit?usp=sharing"",""ชัยนาท!M281"")"),54085)</f>
        <v>54085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IFERROR(__xludf.DUMMYFUNCTION("IMPORTRANGE(""https://docs.google.com/spreadsheets/d/1SX6NBoVAgQJ6U1MVXOaj8PK2l7WJ3RER9xtqwdhxkhw/edit?usp=sharing"",""ชัยนาท!M284"")"),18005)</f>
        <v>18005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IFERROR(__xludf.DUMMYFUNCTION("IMPORTRANGE(""https://docs.google.com/spreadsheets/d/1SX6NBoVAgQJ6U1MVXOaj8PK2l7WJ3RER9xtqwdhxkhw/edit?usp=sharing"",""ชัยนาท!J295"")"),0)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IFERROR(__xludf.DUMMYFUNCTION("IMPORTRANGE(""https://docs.google.com/spreadsheets/d/1SX6NBoVAgQJ6U1MVXOaj8PK2l7WJ3RER9xtqwdhxkhw/edit?usp=sharing"",""ชัยนาท!M296"")"),209235)</f>
        <v>209235</v>
      </c>
      <c r="O401" s="373">
        <f ca="1">+IF(L401&gt;0,N401*100/L401,0)</f>
        <v>92.365249635809832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IFERROR(__xludf.DUMMYFUNCTION("IMPORTRANGE(""https://docs.google.com/spreadsheets/d/1SX6NBoVAgQJ6U1MVXOaj8PK2l7WJ3RER9xtqwdhxkhw/edit?usp=sharing"",""ชัยนาท!M299"")"),209235)</f>
        <v>209235</v>
      </c>
      <c r="O404" s="169">
        <f t="shared" ca="1" si="112"/>
        <v>92.365249635809832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IFERROR(__xludf.DUMMYFUNCTION("IMPORTRANGE(""https://docs.google.com/spreadsheets/d/1SX6NBoVAgQJ6U1MVXOaj8PK2l7WJ3RER9xtqwdhxkhw/edit?usp=sharing"",""ชัยนาท!M301"")"),209235)</f>
        <v>209235</v>
      </c>
      <c r="O406" s="169">
        <f t="shared" ca="1" si="112"/>
        <v>92.365249635809832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IFERROR(__xludf.DUMMYFUNCTION("IMPORTRANGE(""https://docs.google.com/spreadsheets/d/1SX6NBoVAgQJ6U1MVXOaj8PK2l7WJ3RER9xtqwdhxkhw/edit?usp=sharing"",""ชัยนาท!M305"")"),17585)</f>
        <v>17585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IFERROR(__xludf.DUMMYFUNCTION("IMPORTRANGE(""https://docs.google.com/spreadsheets/d/1SX6NBoVAgQJ6U1MVXOaj8PK2l7WJ3RER9xtqwdhxkhw/edit?usp=sharing"",""ชัยนาท!J329"")"),0)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IFERROR(__xludf.DUMMYFUNCTION("IMPORTRANGE(""https://docs.google.com/spreadsheets/d/1SX6NBoVAgQJ6U1MVXOaj8PK2l7WJ3RER9xtqwdhxkhw/edit?usp=sharing"",""ชัยนาท!M330"")"),61740)</f>
        <v>61740</v>
      </c>
      <c r="O435" s="412">
        <f t="shared" ref="O435:O439" ca="1" si="114">+IF(L435&gt;0,N435*100/L435,0)</f>
        <v>70.159090909090907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IFERROR(__xludf.DUMMYFUNCTION("IMPORTRANGE(""https://docs.google.com/spreadsheets/d/1SX6NBoVAgQJ6U1MVXOaj8PK2l7WJ3RER9xtqwdhxkhw/edit?usp=sharing"",""ชัยนาท!M332"")"),61740)</f>
        <v>61740</v>
      </c>
      <c r="O437" s="169">
        <f t="shared" ca="1" si="114"/>
        <v>70.159090909090907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IFERROR(__xludf.DUMMYFUNCTION("IMPORTRANGE(""https://docs.google.com/spreadsheets/d/1SX6NBoVAgQJ6U1MVXOaj8PK2l7WJ3RER9xtqwdhxkhw/edit?usp=sharing"",""ชัยนาท!M334"")"),61740)</f>
        <v>61740</v>
      </c>
      <c r="O439" s="169">
        <f t="shared" ca="1" si="114"/>
        <v>70.159090909090907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IFERROR(__xludf.DUMMYFUNCTION("IMPORTRANGE(""https://docs.google.com/spreadsheets/d/1SX6NBoVAgQJ6U1MVXOaj8PK2l7WJ3RER9xtqwdhxkhw/edit?usp=sharing"",""ชัยนาท!M338"")"),29540)</f>
        <v>29540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IFERROR(__xludf.DUMMYFUNCTION("IMPORTRANGE(""https://docs.google.com/spreadsheets/d/1SX6NBoVAgQJ6U1MVXOaj8PK2l7WJ3RER9xtqwdhxkhw/edit?usp=sharing"",""ชัยนาท!J349"")"),0)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IFERROR(__xludf.DUMMYFUNCTION("IMPORTRANGE(""https://docs.google.com/spreadsheets/d/1SX6NBoVAgQJ6U1MVXOaj8PK2l7WJ3RER9xtqwdhxkhw/edit?usp=sharing"",""ชัยนาท!M350"")"),35460)</f>
        <v>35460</v>
      </c>
      <c r="O455" s="373">
        <f t="shared" ref="O455:O459" ca="1" si="116">+IF(L455&gt;0,N455*100/L455,0)</f>
        <v>36.119542852486404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IFERROR(__xludf.DUMMYFUNCTION("IMPORTRANGE(""https://docs.google.com/spreadsheets/d/1SX6NBoVAgQJ6U1MVXOaj8PK2l7WJ3RER9xtqwdhxkhw/edit?usp=sharing"",""ชัยนาท!M352"")"),35460)</f>
        <v>35460</v>
      </c>
      <c r="O457" s="169">
        <f t="shared" ca="1" si="116"/>
        <v>36.119542852486404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IFERROR(__xludf.DUMMYFUNCTION("IMPORTRANGE(""https://docs.google.com/spreadsheets/d/1SX6NBoVAgQJ6U1MVXOaj8PK2l7WJ3RER9xtqwdhxkhw/edit?usp=sharing"",""ชัยนาท!M354"")"),35460)</f>
        <v>35460</v>
      </c>
      <c r="O459" s="169">
        <f t="shared" ca="1" si="116"/>
        <v>36.119542852486404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IFERROR(__xludf.DUMMYFUNCTION("IMPORTRANGE(""https://docs.google.com/spreadsheets/d/1SX6NBoVAgQJ6U1MVXOaj8PK2l7WJ3RER9xtqwdhxkhw/edit?usp=sharing"",""ชัยนาท!M358"")"),35460)</f>
        <v>35460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IFERROR(__xludf.DUMMYFUNCTION("IMPORTRANGE(""https://docs.google.com/spreadsheets/d/1SX6NBoVAgQJ6U1MVXOaj8PK2l7WJ3RER9xtqwdhxkhw/edit?usp=sharing"",""ชัยนาท!I359"")"),5989)</f>
        <v>5989</v>
      </c>
      <c r="J464" s="267">
        <f ca="1">IFERROR(__xludf.DUMMYFUNCTION("IMPORTRANGE(""https://docs.google.com/spreadsheets/d/1SX6NBoVAgQJ6U1MVXOaj8PK2l7WJ3RER9xtqwdhxkhw/edit?usp=sharing"",""ชัยนาท!J359"")"),5989)</f>
        <v>5989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IFERROR(__xludf.DUMMYFUNCTION("IMPORTRANGE(""https://docs.google.com/spreadsheets/d/1SX6NBoVAgQJ6U1MVXOaj8PK2l7WJ3RER9xtqwdhxkhw/edit?usp=sharing"",""ชัยนาท!I411"")"),0)</f>
        <v>0</v>
      </c>
      <c r="J516" s="267">
        <f ca="1">IFERROR(__xludf.DUMMYFUNCTION("IMPORTRANGE(""https://docs.google.com/spreadsheets/d/1SX6NBoVAgQJ6U1MVXOaj8PK2l7WJ3RER9xtqwdhxkhw/edit?usp=sharing"",""ชัยนาท!J411"")"),0)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IFERROR(__xludf.DUMMYFUNCTION("IMPORTRANGE(""https://docs.google.com/spreadsheets/d/1SX6NBoVAgQJ6U1MVXOaj8PK2l7WJ3RER9xtqwdhxkhw/edit?usp=sharing"",""ชัยนาท!I412"")"),0)</f>
        <v>0</v>
      </c>
      <c r="J517" s="284">
        <f ca="1">IFERROR(__xludf.DUMMYFUNCTION("IMPORTRANGE(""https://docs.google.com/spreadsheets/d/1SX6NBoVAgQJ6U1MVXOaj8PK2l7WJ3RER9xtqwdhxkhw/edit?usp=sharing"",""ชัยนาท!J412"")"),0)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IFERROR(__xludf.DUMMYFUNCTION("IMPORTRANGE(""https://docs.google.com/spreadsheets/d/1SX6NBoVAgQJ6U1MVXOaj8PK2l7WJ3RER9xtqwdhxkhw/edit?usp=sharing"",""ชัยนาท!I413"")"),0)</f>
        <v>0</v>
      </c>
      <c r="J518" s="284">
        <f ca="1">IFERROR(__xludf.DUMMYFUNCTION("IMPORTRANGE(""https://docs.google.com/spreadsheets/d/1SX6NBoVAgQJ6U1MVXOaj8PK2l7WJ3RER9xtqwdhxkhw/edit?usp=sharing"",""ชัยนาท!J413"")"),0)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IFERROR(__xludf.DUMMYFUNCTION("IMPORTRANGE(""https://docs.google.com/spreadsheets/d/1SX6NBoVAgQJ6U1MVXOaj8PK2l7WJ3RER9xtqwdhxkhw/edit?usp=sharing"",""ชัยนาท!I420"")"),0)</f>
        <v>0</v>
      </c>
      <c r="J525" s="284">
        <f ca="1">IFERROR(__xludf.DUMMYFUNCTION("IMPORTRANGE(""https://docs.google.com/spreadsheets/d/1SX6NBoVAgQJ6U1MVXOaj8PK2l7WJ3RER9xtqwdhxkhw/edit?usp=sharing"",""ชัยนาท!J420"")"),0)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IFERROR(__xludf.DUMMYFUNCTION("IMPORTRANGE(""https://docs.google.com/spreadsheets/d/1SX6NBoVAgQJ6U1MVXOaj8PK2l7WJ3RER9xtqwdhxkhw/edit?usp=sharing"",""ชัยนาท!I421"")"),0)</f>
        <v>0</v>
      </c>
      <c r="J526" s="284">
        <f ca="1">IFERROR(__xludf.DUMMYFUNCTION("IMPORTRANGE(""https://docs.google.com/spreadsheets/d/1SX6NBoVAgQJ6U1MVXOaj8PK2l7WJ3RER9xtqwdhxkhw/edit?usp=sharing"",""ชัยนาท!J421"")"),0)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IFERROR(__xludf.DUMMYFUNCTION("IMPORTRANGE(""https://docs.google.com/spreadsheets/d/1SX6NBoVAgQJ6U1MVXOaj8PK2l7WJ3RER9xtqwdhxkhw/edit?usp=sharing"",""ชัยนาท!M428"")"),26220)</f>
        <v>26220</v>
      </c>
      <c r="O533" s="412">
        <f t="shared" ref="O533:O537" ca="1" si="118">+IF(L533&gt;0,N533*100/L533,0)</f>
        <v>76.35410599883518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IFERROR(__xludf.DUMMYFUNCTION("IMPORTRANGE(""https://docs.google.com/spreadsheets/d/1SX6NBoVAgQJ6U1MVXOaj8PK2l7WJ3RER9xtqwdhxkhw/edit?usp=sharing"",""ชัยนาท!L430"")"),34340)</f>
        <v>34340</v>
      </c>
      <c r="M535" s="165"/>
      <c r="N535" s="169">
        <f ca="1">IFERROR(__xludf.DUMMYFUNCTION("IMPORTRANGE(""https://docs.google.com/spreadsheets/d/1SX6NBoVAgQJ6U1MVXOaj8PK2l7WJ3RER9xtqwdhxkhw/edit?usp=sharing"",""ชัยนาท!M430"")"),26220)</f>
        <v>26220</v>
      </c>
      <c r="O535" s="169">
        <f t="shared" ca="1" si="118"/>
        <v>76.35410599883518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IFERROR(__xludf.DUMMYFUNCTION("IMPORTRANGE(""https://docs.google.com/spreadsheets/d/1SX6NBoVAgQJ6U1MVXOaj8PK2l7WJ3RER9xtqwdhxkhw/edit?usp=sharing"",""ชัยนาท!L432"")"),34340)</f>
        <v>34340</v>
      </c>
      <c r="M537" s="169"/>
      <c r="N537" s="169">
        <f ca="1">IFERROR(__xludf.DUMMYFUNCTION("IMPORTRANGE(""https://docs.google.com/spreadsheets/d/1SX6NBoVAgQJ6U1MVXOaj8PK2l7WJ3RER9xtqwdhxkhw/edit?usp=sharing"",""ชัยนาท!M432"")"),26220)</f>
        <v>26220</v>
      </c>
      <c r="O537" s="169">
        <f t="shared" ca="1" si="118"/>
        <v>76.35410599883518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IFERROR(__xludf.DUMMYFUNCTION("IMPORTRANGE(""https://docs.google.com/spreadsheets/d/1SX6NBoVAgQJ6U1MVXOaj8PK2l7WJ3RER9xtqwdhxkhw/edit?usp=sharing"",""ชัยนาท!M436"")"),7480)</f>
        <v>7480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IFERROR(__xludf.DUMMYFUNCTION("IMPORTRANGE(""https://docs.google.com/spreadsheets/d/1SX6NBoVAgQJ6U1MVXOaj8PK2l7WJ3RER9xtqwdhxkhw/edit?usp=sharing"",""ชัยนาท!J459"")"),1282)</f>
        <v>1282</v>
      </c>
      <c r="K564" s="372">
        <f ca="1">IF(I564&gt;0,J564*100/I564,0)</f>
        <v>641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IFERROR(__xludf.DUMMYFUNCTION("IMPORTRANGE(""https://docs.google.com/spreadsheets/d/1SX6NBoVAgQJ6U1MVXOaj8PK2l7WJ3RER9xtqwdhxkhw/edit?usp=sharing"",""ชัยนาท!M459"")"),49025)</f>
        <v>49025</v>
      </c>
      <c r="O564" s="373">
        <f t="shared" ref="O564:O568" ca="1" si="122">+IF(L564&gt;0,N564*100/L564,0)</f>
        <v>39.282852564102562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IFERROR(__xludf.DUMMYFUNCTION("IMPORTRANGE(""https://docs.google.com/spreadsheets/d/1SX6NBoVAgQJ6U1MVXOaj8PK2l7WJ3RER9xtqwdhxkhw/edit?usp=sharing"",""ชัยนาท!M461"")"),49025)</f>
        <v>49025</v>
      </c>
      <c r="O566" s="169">
        <f t="shared" ca="1" si="122"/>
        <v>39.282852564102562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IFERROR(__xludf.DUMMYFUNCTION("IMPORTRANGE(""https://docs.google.com/spreadsheets/d/1SX6NBoVAgQJ6U1MVXOaj8PK2l7WJ3RER9xtqwdhxkhw/edit?usp=sharing"",""ชัยนาท!M463"")"),49025)</f>
        <v>49025</v>
      </c>
      <c r="O568" s="169">
        <f t="shared" ca="1" si="122"/>
        <v>39.282852564102562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IFERROR(__xludf.DUMMYFUNCTION("IMPORTRANGE(""https://docs.google.com/spreadsheets/d/1SX6NBoVAgQJ6U1MVXOaj8PK2l7WJ3RER9xtqwdhxkhw/edit?usp=sharing"",""ชัยนาท!M466"")"),44000)</f>
        <v>44000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IFERROR(__xludf.DUMMYFUNCTION("IMPORTRANGE(""https://docs.google.com/spreadsheets/d/1SX6NBoVAgQJ6U1MVXOaj8PK2l7WJ3RER9xtqwdhxkhw/edit?usp=sharing"",""ชัยนาท!M467"")"),5025)</f>
        <v>5025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IFERROR(__xludf.DUMMYFUNCTION("IMPORTRANGE(""https://docs.google.com/spreadsheets/d/1SX6NBoVAgQJ6U1MVXOaj8PK2l7WJ3RER9xtqwdhxkhw/edit?usp=sharing"",""ชัยนาท!J468"")"),1282)</f>
        <v>1282</v>
      </c>
      <c r="K573" s="202">
        <f ca="1">IF(I573&gt;0,J573*100/I573,0)</f>
        <v>641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IFERROR(__xludf.DUMMYFUNCTION("IMPORTRANGE(""https://docs.google.com/spreadsheets/d/1SX6NBoVAgQJ6U1MVXOaj8PK2l7WJ3RER9xtqwdhxkhw/edit?usp=sharing"",""ชัยนาท!J471"")"),21)</f>
        <v>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IFERROR(__xludf.DUMMYFUNCTION("IMPORTRANGE(""https://docs.google.com/spreadsheets/d/1SX6NBoVAgQJ6U1MVXOaj8PK2l7WJ3RER9xtqwdhxkhw/edit?usp=sharing"",""ชัยนาท!J472"")"),1261)</f>
        <v>1261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IFERROR(__xludf.DUMMYFUNCTION("IMPORTRANGE(""https://docs.google.com/spreadsheets/d/1SX6NBoVAgQJ6U1MVXOaj8PK2l7WJ3RER9xtqwdhxkhw/edit?usp=sharing"",""ชัยนาท!J475"")"),2)</f>
        <v>2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IFERROR(__xludf.DUMMYFUNCTION("IMPORTRANGE(""https://docs.google.com/spreadsheets/d/1SX6NBoVAgQJ6U1MVXOaj8PK2l7WJ3RER9xtqwdhxkhw/edit?usp=sharing"",""ชัยนาท!J486"")"),2)</f>
        <v>2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IFERROR(__xludf.DUMMYFUNCTION("IMPORTRANGE(""https://docs.google.com/spreadsheets/d/1SX6NBoVAgQJ6U1MVXOaj8PK2l7WJ3RER9xtqwdhxkhw/edit?usp=sharing"",""ชัยนาท!J487"")"),1.42)</f>
        <v>1.42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IFERROR(__xludf.DUMMYFUNCTION("IMPORTRANGE(""https://docs.google.com/spreadsheets/d/1SX6NBoVAgQJ6U1MVXOaj8PK2l7WJ3RER9xtqwdhxkhw/edit?usp=sharing"",""ชัยนาท!J490"")"),2)</f>
        <v>2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IFERROR(__xludf.DUMMYFUNCTION("IMPORTRANGE(""https://docs.google.com/spreadsheets/d/1SX6NBoVAgQJ6U1MVXOaj8PK2l7WJ3RER9xtqwdhxkhw/edit?usp=sharing"",""ชัยนาท!I491"")"),0)</f>
        <v>0</v>
      </c>
      <c r="J596" s="241">
        <f ca="1">IFERROR(__xludf.DUMMYFUNCTION("IMPORTRANGE(""https://docs.google.com/spreadsheets/d/1SX6NBoVAgQJ6U1MVXOaj8PK2l7WJ3RER9xtqwdhxkhw/edit?usp=sharing"",""ชัยนาท!J491"")"),1.42)</f>
        <v>1.42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7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IFERROR(__xludf.DUMMYFUNCTION("IMPORTRANGE(""https://docs.google.com/spreadsheets/d/1SX6NBoVAgQJ6U1MVXOaj8PK2l7WJ3RER9xtqwdhxkhw/edit?usp=sharing"",""ชัยนาท!M492"")"),1740)</f>
        <v>1740</v>
      </c>
      <c r="O597" s="412">
        <f t="shared" ref="O597:O601" ca="1" si="126">+IF(L597&gt;0,N597*100/L597,0)</f>
        <v>38.241758241758241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IFERROR(__xludf.DUMMYFUNCTION("IMPORTRANGE(""https://docs.google.com/spreadsheets/d/1SX6NBoVAgQJ6U1MVXOaj8PK2l7WJ3RER9xtqwdhxkhw/edit?usp=sharing"",""ชัยนาท!M494"")"),1740)</f>
        <v>1740</v>
      </c>
      <c r="O599" s="169">
        <f t="shared" ca="1" si="126"/>
        <v>38.241758241758241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IFERROR(__xludf.DUMMYFUNCTION("IMPORTRANGE(""https://docs.google.com/spreadsheets/d/1SX6NBoVAgQJ6U1MVXOaj8PK2l7WJ3RER9xtqwdhxkhw/edit?usp=sharing"",""ชัยนาท!M496"")"),1740)</f>
        <v>1740</v>
      </c>
      <c r="O601" s="169">
        <f t="shared" ca="1" si="126"/>
        <v>38.241758241758241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IFERROR(__xludf.DUMMYFUNCTION("IMPORTRANGE(""https://docs.google.com/spreadsheets/d/1SX6NBoVAgQJ6U1MVXOaj8PK2l7WJ3RER9xtqwdhxkhw/edit?usp=sharing"",""ชัยนาท!M500"")"),1740)</f>
        <v>1740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IFERROR(__xludf.DUMMYFUNCTION("IMPORTRANGE(""https://docs.google.com/spreadsheets/d/1SX6NBoVAgQJ6U1MVXOaj8PK2l7WJ3RER9xtqwdhxkhw/edit?usp=sharing"",""ชัยนาท!I523"")"),1783436.63)</f>
        <v>1783436.63</v>
      </c>
      <c r="J628" s="341">
        <f ca="1">IFERROR(__xludf.DUMMYFUNCTION("IMPORTRANGE(""https://docs.google.com/spreadsheets/d/1SX6NBoVAgQJ6U1MVXOaj8PK2l7WJ3RER9xtqwdhxkhw/edit?usp=sharing"",""ชัยนาท!J523"")"),1369632.06)</f>
        <v>1369632.06</v>
      </c>
      <c r="K628" s="342">
        <f t="shared" ref="K628:K635" ca="1" si="129">IF(I628&gt;0,J628*100/I628,0)</f>
        <v>76.797349396148718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IFERROR(__xludf.DUMMYFUNCTION("IMPORTRANGE(""https://docs.google.com/spreadsheets/d/1SX6NBoVAgQJ6U1MVXOaj8PK2l7WJ3RER9xtqwdhxkhw/edit?usp=sharing"",""ชัยนาท!I524"")"),141)</f>
        <v>141</v>
      </c>
      <c r="J629" s="341">
        <f ca="1">IFERROR(__xludf.DUMMYFUNCTION("IMPORTRANGE(""https://docs.google.com/spreadsheets/d/1SX6NBoVAgQJ6U1MVXOaj8PK2l7WJ3RER9xtqwdhxkhw/edit?usp=sharing"",""ชัยนาท!J524"")"),114)</f>
        <v>114</v>
      </c>
      <c r="K629" s="342">
        <f t="shared" ca="1" si="129"/>
        <v>80.851063829787236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1">
        <f ca="1">IFERROR(__xludf.DUMMYFUNCTION("IMPORTRANGE(""https://docs.google.com/spreadsheets/d/1SX6NBoVAgQJ6U1MVXOaj8PK2l7WJ3RER9xtqwdhxkhw/edit?usp=sharing"",""ชัยนาท!J525"")"),918497.63)</f>
        <v>918497.63</v>
      </c>
      <c r="K630" s="342">
        <f t="shared" ca="1" si="129"/>
        <v>14.185580486872402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IFERROR(__xludf.DUMMYFUNCTION("IMPORTRANGE(""https://docs.google.com/spreadsheets/d/1SX6NBoVAgQJ6U1MVXOaj8PK2l7WJ3RER9xtqwdhxkhw/edit?usp=sharing"",""ชัยนาท!I526"")"),297)</f>
        <v>297</v>
      </c>
      <c r="J631" s="341">
        <f ca="1">IFERROR(__xludf.DUMMYFUNCTION("IMPORTRANGE(""https://docs.google.com/spreadsheets/d/1SX6NBoVAgQJ6U1MVXOaj8PK2l7WJ3RER9xtqwdhxkhw/edit?usp=sharing"",""ชัยนาท!J526"")"),127)</f>
        <v>127</v>
      </c>
      <c r="K631" s="342">
        <f t="shared" ca="1" si="129"/>
        <v>42.760942760942761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1">
        <f ca="1">IFERROR(__xludf.DUMMYFUNCTION("IMPORTRANGE(""https://docs.google.com/spreadsheets/d/1SX6NBoVAgQJ6U1MVXOaj8PK2l7WJ3RER9xtqwdhxkhw/edit?usp=sharing"",""ชัยนาท!J527"")"),1888521.35)</f>
        <v>1888521.35</v>
      </c>
      <c r="K632" s="342">
        <f t="shared" ca="1" si="129"/>
        <v>15.135283068456678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IFERROR(__xludf.DUMMYFUNCTION("IMPORTRANGE(""https://docs.google.com/spreadsheets/d/1SX6NBoVAgQJ6U1MVXOaj8PK2l7WJ3RER9xtqwdhxkhw/edit?usp=sharing"",""ชัยนาท!I528"")"),351)</f>
        <v>351</v>
      </c>
      <c r="J633" s="341">
        <f ca="1">IFERROR(__xludf.DUMMYFUNCTION("IMPORTRANGE(""https://docs.google.com/spreadsheets/d/1SX6NBoVAgQJ6U1MVXOaj8PK2l7WJ3RER9xtqwdhxkhw/edit?usp=sharing"",""ชัยนาท!J528"")"),206)</f>
        <v>206</v>
      </c>
      <c r="K633" s="342">
        <f t="shared" ca="1" si="129"/>
        <v>58.689458689458689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IFERROR(__xludf.DUMMYFUNCTION("IMPORTRANGE(""https://docs.google.com/spreadsheets/d/1SX6NBoVAgQJ6U1MVXOaj8PK2l7WJ3RER9xtqwdhxkhw/edit?usp=sharing"",""ชัยนาท!I529"")"),4700000)</f>
        <v>4700000</v>
      </c>
      <c r="J634" s="341">
        <f ca="1">IFERROR(__xludf.DUMMYFUNCTION("IMPORTRANGE(""https://docs.google.com/spreadsheets/d/1SX6NBoVAgQJ6U1MVXOaj8PK2l7WJ3RER9xtqwdhxkhw/edit?usp=sharing"",""ชัยนาท!J529"")"),950000)</f>
        <v>950000</v>
      </c>
      <c r="K634" s="342">
        <f t="shared" ca="1" si="129"/>
        <v>20.212765957446809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IFERROR(__xludf.DUMMYFUNCTION("IMPORTRANGE(""https://docs.google.com/spreadsheets/d/1SX6NBoVAgQJ6U1MVXOaj8PK2l7WJ3RER9xtqwdhxkhw/edit?usp=sharing"",""ชัยนาท!I530"")"),200)</f>
        <v>200</v>
      </c>
      <c r="J635" s="504">
        <f ca="1">IFERROR(__xludf.DUMMYFUNCTION("IMPORTRANGE(""https://docs.google.com/spreadsheets/d/1SX6NBoVAgQJ6U1MVXOaj8PK2l7WJ3RER9xtqwdhxkhw/edit?usp=sharing"",""ชัยนาท!J530"")"),26)</f>
        <v>26</v>
      </c>
      <c r="K635" s="486">
        <f t="shared" ca="1" si="129"/>
        <v>13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6640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6640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6640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IFERROR(__xludf.DUMMYFUNCTION("IMPORTRANGE(""https://docs.google.com/spreadsheets/d/1SX6NBoVAgQJ6U1MVXOaj8PK2l7WJ3RER9xtqwdhxkhw/edit#gid=346597447"",""ชัยนาท!J541"")"),0)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IFERROR(__xludf.DUMMYFUNCTION("IMPORTRANGE(""https://docs.google.com/spreadsheets/d/1SX6NBoVAgQJ6U1MVXOaj8PK2l7WJ3RER9xtqwdhxkhw/edit#gid=346597447"",""ชัยนาท!J542"")"),0)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IFERROR(__xludf.DUMMYFUNCTION("IMPORTRANGE(""https://docs.google.com/spreadsheets/d/1SX6NBoVAgQJ6U1MVXOaj8PK2l7WJ3RER9xtqwdhxkhw/edit#gid=346597447"",""ชัยนาท!I543"")"),0)</f>
        <v>0</v>
      </c>
      <c r="J648" s="536">
        <f ca="1">IFERROR(__xludf.DUMMYFUNCTION("IMPORTRANGE(""https://docs.google.com/spreadsheets/d/1SX6NBoVAgQJ6U1MVXOaj8PK2l7WJ3RER9xtqwdhxkhw/edit#gid=346597447"",""ชัยนาท!J543"")"),0)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IFERROR(__xludf.DUMMYFUNCTION("IMPORTRANGE(""https://docs.google.com/spreadsheets/d/1SX6NBoVAgQJ6U1MVXOaj8PK2l7WJ3RER9xtqwdhxkhw/edit#gid=346597447"",""ชัยนาท!L543"")"),0)</f>
        <v>0</v>
      </c>
      <c r="M648" s="521"/>
      <c r="N648" s="538">
        <f ca="1">IFERROR(__xludf.DUMMYFUNCTION("IMPORTRANGE(""https://docs.google.com/spreadsheets/d/1SX6NBoVAgQJ6U1MVXOaj8PK2l7WJ3RER9xtqwdhxkhw/edit#gid=346597447"",""ชัยนาท!M543"")"),0)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IFERROR(__xludf.DUMMYFUNCTION("IMPORTRANGE(""https://docs.google.com/spreadsheets/d/1SX6NBoVAgQJ6U1MVXOaj8PK2l7WJ3RER9xtqwdhxkhw/edit#gid=346597447"",""ชัยนาท!I544"")"),2)</f>
        <v>2</v>
      </c>
      <c r="J649" s="536">
        <f ca="1">IFERROR(__xludf.DUMMYFUNCTION("IMPORTRANGE(""https://docs.google.com/spreadsheets/d/1SX6NBoVAgQJ6U1MVXOaj8PK2l7WJ3RER9xtqwdhxkhw/edit#gid=346597447"",""ชัยนาท!J544"")"),0)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IFERROR(__xludf.DUMMYFUNCTION("IMPORTRANGE(""https://docs.google.com/spreadsheets/d/1SX6NBoVAgQJ6U1MVXOaj8PK2l7WJ3RER9xtqwdhxkhw/edit#gid=346597447"",""ชัยนาท!L544"")"),240)</f>
        <v>240</v>
      </c>
      <c r="M649" s="521"/>
      <c r="N649" s="538">
        <f ca="1">IFERROR(__xludf.DUMMYFUNCTION("IMPORTRANGE(""https://docs.google.com/spreadsheets/d/1SX6NBoVAgQJ6U1MVXOaj8PK2l7WJ3RER9xtqwdhxkhw/edit#gid=346597447"",""ชัยนาท!M544"")"),0)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IFERROR(__xludf.DUMMYFUNCTION("IMPORTRANGE(""https://docs.google.com/spreadsheets/d/1SX6NBoVAgQJ6U1MVXOaj8PK2l7WJ3RER9xtqwdhxkhw/edit#gid=346597447"",""ชัยนาท!I545"")"),80)</f>
        <v>80</v>
      </c>
      <c r="J650" s="536">
        <f ca="1">IFERROR(__xludf.DUMMYFUNCTION("IMPORTRANGE(""https://docs.google.com/spreadsheets/d/1SX6NBoVAgQJ6U1MVXOaj8PK2l7WJ3RER9xtqwdhxkhw/edit#gid=346597447"",""ชัยนาท!J545"")"),0)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IFERROR(__xludf.DUMMYFUNCTION("IMPORTRANGE(""https://docs.google.com/spreadsheets/d/1SX6NBoVAgQJ6U1MVXOaj8PK2l7WJ3RER9xtqwdhxkhw/edit#gid=346597447"",""ชัยนาท!L545"")"),400)</f>
        <v>400</v>
      </c>
      <c r="M650" s="521"/>
      <c r="N650" s="538">
        <f ca="1">IFERROR(__xludf.DUMMYFUNCTION("IMPORTRANGE(""https://docs.google.com/spreadsheets/d/1SX6NBoVAgQJ6U1MVXOaj8PK2l7WJ3RER9xtqwdhxkhw/edit#gid=346597447"",""ชัยนาท!M545"")"),0)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IFERROR(__xludf.DUMMYFUNCTION("IMPORTRANGE(""https://docs.google.com/spreadsheets/d/1SX6NBoVAgQJ6U1MVXOaj8PK2l7WJ3RER9xtqwdhxkhw/edit#gid=346597447"",""ชัยนาท!I546"")"),0)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IFERROR(__xludf.DUMMYFUNCTION("IMPORTRANGE(""https://docs.google.com/spreadsheets/d/1SX6NBoVAgQJ6U1MVXOaj8PK2l7WJ3RER9xtqwdhxkhw/edit#gid=346597447"",""ชัยนาท!L546"")"),0)</f>
        <v>0</v>
      </c>
      <c r="M651" s="521"/>
      <c r="N651" s="538">
        <f ca="1">IFERROR(__xludf.DUMMYFUNCTION("IMPORTRANGE(""https://docs.google.com/spreadsheets/d/1SX6NBoVAgQJ6U1MVXOaj8PK2l7WJ3RER9xtqwdhxkhw/edit#gid=346597447"",""ชัยนาท!M546"")"),0)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IFERROR(__xludf.DUMMYFUNCTION("IMPORTRANGE(""https://docs.google.com/spreadsheets/d/1SX6NBoVAgQJ6U1MVXOaj8PK2l7WJ3RER9xtqwdhxkhw/edit#gid=346597447"",""ชัยนาท!J547"")"),0)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IFERROR(__xludf.DUMMYFUNCTION("IMPORTRANGE(""https://docs.google.com/spreadsheets/d/1SX6NBoVAgQJ6U1MVXOaj8PK2l7WJ3RER9xtqwdhxkhw/edit#gid=346597447"",""ชัยนาท!J548"")"),0)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IFERROR(__xludf.DUMMYFUNCTION("IMPORTRANGE(""https://docs.google.com/spreadsheets/d/1SX6NBoVAgQJ6U1MVXOaj8PK2l7WJ3RER9xtqwdhxkhw/edit#gid=346597447"",""ชัยนาท!J550"")"),0)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IFERROR(__xludf.DUMMYFUNCTION("IMPORTRANGE(""https://docs.google.com/spreadsheets/d/1SX6NBoVAgQJ6U1MVXOaj8PK2l7WJ3RER9xtqwdhxkhw/edit#gid=346597447"",""ชัยนาท!J551"")"),0)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IFERROR(__xludf.DUMMYFUNCTION("IMPORTRANGE(""https://docs.google.com/spreadsheets/d/1SX6NBoVAgQJ6U1MVXOaj8PK2l7WJ3RER9xtqwdhxkhw/edit#gid=346597447"",""ชัยนาท!J552"")"),0)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IFERROR(__xludf.DUMMYFUNCTION("IMPORTRANGE(""https://docs.google.com/spreadsheets/d/1SX6NBoVAgQJ6U1MVXOaj8PK2l7WJ3RER9xtqwdhxkhw/edit#gid=346597447"",""ชัยนาท!J553"")"),0)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IFERROR(__xludf.DUMMYFUNCTION("IMPORTRANGE(""https://docs.google.com/spreadsheets/d/1SX6NBoVAgQJ6U1MVXOaj8PK2l7WJ3RER9xtqwdhxkhw/edit#gid=346597447"",""ชัยนาท!J554"")"),0)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IFERROR(__xludf.DUMMYFUNCTION("IMPORTRANGE(""https://docs.google.com/spreadsheets/d/1SX6NBoVAgQJ6U1MVXOaj8PK2l7WJ3RER9xtqwdhxkhw/edit#gid=346597447"",""ชัยนาท!J555"")"),0)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IFERROR(__xludf.DUMMYFUNCTION("IMPORTRANGE(""https://docs.google.com/spreadsheets/d/1SX6NBoVAgQJ6U1MVXOaj8PK2l7WJ3RER9xtqwdhxkhw/edit#gid=346597447"",""ชัยนาท!J556"")"),0)</f>
        <v>0</v>
      </c>
      <c r="K661" s="537"/>
      <c r="L661" s="522">
        <f ca="1">IFERROR(__xludf.DUMMYFUNCTION("IMPORTRANGE(""https://docs.google.com/spreadsheets/d/1SX6NBoVAgQJ6U1MVXOaj8PK2l7WJ3RER9xtqwdhxkhw/edit#gid=346597447"",""ชัยนาท!L556"")"),4000)</f>
        <v>4000</v>
      </c>
      <c r="M661" s="521"/>
      <c r="N661" s="538">
        <f ca="1">IFERROR(__xludf.DUMMYFUNCTION("IMPORTRANGE(""https://docs.google.com/spreadsheets/d/1SX6NBoVAgQJ6U1MVXOaj8PK2l7WJ3RER9xtqwdhxkhw/edit#gid=346597447"",""ชัยนาท!M556"")"),0)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IFERROR(__xludf.DUMMYFUNCTION("IMPORTRANGE(""https://docs.google.com/spreadsheets/d/1SX6NBoVAgQJ6U1MVXOaj8PK2l7WJ3RER9xtqwdhxkhw/edit#gid=346597447"",""ชัยนาท!J557"")"),0)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IFERROR(__xludf.DUMMYFUNCTION("IMPORTRANGE(""https://docs.google.com/spreadsheets/d/1SX6NBoVAgQJ6U1MVXOaj8PK2l7WJ3RER9xtqwdhxkhw/edit#gid=346597447"",""ชัยนาท!I558"")"),100)</f>
        <v>100</v>
      </c>
      <c r="J663" s="536">
        <f ca="1">IFERROR(__xludf.DUMMYFUNCTION("IMPORTRANGE(""https://docs.google.com/spreadsheets/d/1SX6NBoVAgQJ6U1MVXOaj8PK2l7WJ3RER9xtqwdhxkhw/edit#gid=346597447"",""ชัยนาท!J558"")"),0)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IFERROR(__xludf.DUMMYFUNCTION("IMPORTRANGE(""https://docs.google.com/spreadsheets/d/1SX6NBoVAgQJ6U1MVXOaj8PK2l7WJ3RER9xtqwdhxkhw/edit#gid=346597447"",""ชัยนาท!I560"")"),10)</f>
        <v>10</v>
      </c>
      <c r="J665" s="536">
        <f ca="1">IFERROR(__xludf.DUMMYFUNCTION("IMPORTRANGE(""https://docs.google.com/spreadsheets/d/1SX6NBoVAgQJ6U1MVXOaj8PK2l7WJ3RER9xtqwdhxkhw/edit#gid=346597447"",""ชัยนาท!J560"")"),0)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IFERROR(__xludf.DUMMYFUNCTION("IMPORTRANGE(""https://docs.google.com/spreadsheets/d/1SX6NBoVAgQJ6U1MVXOaj8PK2l7WJ3RER9xtqwdhxkhw/edit#gid=346597447"",""ชัยนาท!L560"")"),1200)</f>
        <v>1200</v>
      </c>
      <c r="M665" s="521"/>
      <c r="N665" s="538">
        <f ca="1">IFERROR(__xludf.DUMMYFUNCTION("IMPORTRANGE(""https://docs.google.com/spreadsheets/d/1SX6NBoVAgQJ6U1MVXOaj8PK2l7WJ3RER9xtqwdhxkhw/edit#gid=346597447"",""ชัยนาท!M560"")"),0)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IFERROR(__xludf.DUMMYFUNCTION("IMPORTRANGE(""https://docs.google.com/spreadsheets/d/1SX6NBoVAgQJ6U1MVXOaj8PK2l7WJ3RER9xtqwdhxkhw/edit#gid=346597447"",""ชัยนาท!J561"")"),0)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IFERROR(__xludf.DUMMYFUNCTION("IMPORTRANGE(""https://docs.google.com/spreadsheets/d/1SX6NBoVAgQJ6U1MVXOaj8PK2l7WJ3RER9xtqwdhxkhw/edit#gid=346597447"",""ชัยนาท!J562"")"),0)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IFERROR(__xludf.DUMMYFUNCTION("IMPORTRANGE(""https://docs.google.com/spreadsheets/d/1SX6NBoVAgQJ6U1MVXOaj8PK2l7WJ3RER9xtqwdhxkhw/edit#gid=346597447"",""ชัยนาท!I563"")"),0)</f>
        <v>0</v>
      </c>
      <c r="J668" s="536">
        <f ca="1">IFERROR(__xludf.DUMMYFUNCTION("IMPORTRANGE(""https://docs.google.com/spreadsheets/d/1SX6NBoVAgQJ6U1MVXOaj8PK2l7WJ3RER9xtqwdhxkhw/edit#gid=346597447"",""ชัยนาท!J563"")"),0)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IFERROR(__xludf.DUMMYFUNCTION("IMPORTRANGE(""https://docs.google.com/spreadsheets/d/1SX6NBoVAgQJ6U1MVXOaj8PK2l7WJ3RER9xtqwdhxkhw/edit#gid=346597447"",""ชัยนาท!L563"")"),0)</f>
        <v>0</v>
      </c>
      <c r="M668" s="521"/>
      <c r="N668" s="538">
        <f ca="1">IFERROR(__xludf.DUMMYFUNCTION("IMPORTRANGE(""https://docs.google.com/spreadsheets/d/1SX6NBoVAgQJ6U1MVXOaj8PK2l7WJ3RER9xtqwdhxkhw/edit#gid=346597447"",""ชัยนาท!M563"")"),0)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IFERROR(__xludf.DUMMYFUNCTION("IMPORTRANGE(""https://docs.google.com/spreadsheets/d/1SX6NBoVAgQJ6U1MVXOaj8PK2l7WJ3RER9xtqwdhxkhw/edit#gid=346597447"",""ชัยนาท!J564"")"),0)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IFERROR(__xludf.DUMMYFUNCTION("IMPORTRANGE(""https://docs.google.com/spreadsheets/d/1SX6NBoVAgQJ6U1MVXOaj8PK2l7WJ3RER9xtqwdhxkhw/edit#gid=346597447"",""ชัยนาท!J565"")"),0)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IFERROR(__xludf.DUMMYFUNCTION("IMPORTRANGE(""https://docs.google.com/spreadsheets/d/1SX6NBoVAgQJ6U1MVXOaj8PK2l7WJ3RER9xtqwdhxkhw/edit#gid=346597447"",""ชัยนาท!I566"")"),10)</f>
        <v>10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IFERROR(__xludf.DUMMYFUNCTION("IMPORTRANGE(""https://docs.google.com/spreadsheets/d/1SX6NBoVAgQJ6U1MVXOaj8PK2l7WJ3RER9xtqwdhxkhw/edit#gid=346597447"",""ชัยนาท!L566"")"),800)</f>
        <v>800</v>
      </c>
      <c r="M671" s="521"/>
      <c r="N671" s="538">
        <f ca="1">IFERROR(__xludf.DUMMYFUNCTION("IMPORTRANGE(""https://docs.google.com/spreadsheets/d/1SX6NBoVAgQJ6U1MVXOaj8PK2l7WJ3RER9xtqwdhxkhw/edit#gid=346597447"",""ชัยนาท!M566"")"),0)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IFERROR(__xludf.DUMMYFUNCTION("IMPORTRANGE(""https://docs.google.com/spreadsheets/d/1SX6NBoVAgQJ6U1MVXOaj8PK2l7WJ3RER9xtqwdhxkhw/edit#gid=346597447"",""ชัยนาท!J567"")"),0)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IFERROR(__xludf.DUMMYFUNCTION("IMPORTRANGE(""https://docs.google.com/spreadsheets/d/1SX6NBoVAgQJ6U1MVXOaj8PK2l7WJ3RER9xtqwdhxkhw/edit#gid=346597447"",""ชัยนาท!J568"")"),0)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IFERROR(__xludf.DUMMYFUNCTION("IMPORTRANGE(""https://docs.google.com/spreadsheets/d/1SX6NBoVAgQJ6U1MVXOaj8PK2l7WJ3RER9xtqwdhxkhw/edit#gid=346597447"",""ชัยนาท!J569"")"),0)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IFERROR(__xludf.DUMMYFUNCTION("IMPORTRANGE(""https://docs.google.com/spreadsheets/d/1SX6NBoVAgQJ6U1MVXOaj8PK2l7WJ3RER9xtqwdhxkhw/edit#gid=346597447"",""ชัยนาท!J570"")"),0)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IFERROR(__xludf.DUMMYFUNCTION("IMPORTRANGE(""https://docs.google.com/spreadsheets/d/1SX6NBoVAgQJ6U1MVXOaj8PK2l7WJ3RER9xtqwdhxkhw/edit#gid=346597447"",""ชัยนาท!J571"")"),0)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IFERROR(__xludf.DUMMYFUNCTION("IMPORTRANGE(""https://docs.google.com/spreadsheets/d/1SX6NBoVAgQJ6U1MVXOaj8PK2l7WJ3RER9xtqwdhxkhw/edit#gid=346597447"",""ชัยนาท!J572"")"),0)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2779582</v>
      </c>
      <c r="M8" s="23">
        <f t="shared" ca="1" si="0"/>
        <v>1699088</v>
      </c>
      <c r="N8" s="23">
        <f t="shared" ca="1" si="0"/>
        <v>1721248.65</v>
      </c>
      <c r="O8" s="22">
        <f t="shared" ref="O8:O16" ca="1" si="1">IF(L8&gt;0,N8*100/L8,0)</f>
        <v>61.924730049338351</v>
      </c>
      <c r="P8" s="22">
        <f t="shared" ref="P8:P16" ca="1" si="2">IF(M8&gt;0,N8*100/M8,0)</f>
        <v>101.3042673481303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2779582</v>
      </c>
      <c r="M10" s="30">
        <f t="shared" ca="1" si="4"/>
        <v>1699088</v>
      </c>
      <c r="N10" s="30">
        <f t="shared" ca="1" si="4"/>
        <v>1721248.65</v>
      </c>
      <c r="O10" s="29">
        <f t="shared" ca="1" si="1"/>
        <v>61.924730049338351</v>
      </c>
      <c r="P10" s="29">
        <f t="shared" ca="1" si="2"/>
        <v>101.3042673481303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2491582</v>
      </c>
      <c r="M12" s="38">
        <f t="shared" ca="1" si="6"/>
        <v>1411088</v>
      </c>
      <c r="N12" s="38">
        <f t="shared" ca="1" si="6"/>
        <v>1433248.65</v>
      </c>
      <c r="O12" s="38">
        <f t="shared" ca="1" si="1"/>
        <v>57.523639599258622</v>
      </c>
      <c r="P12" s="38">
        <f t="shared" ca="1" si="2"/>
        <v>101.57046548478904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1013882</v>
      </c>
      <c r="M14" s="38">
        <f t="shared" si="8"/>
        <v>0</v>
      </c>
      <c r="N14" s="38">
        <f t="shared" ca="1" si="8"/>
        <v>400566</v>
      </c>
      <c r="O14" s="38">
        <f t="shared" ca="1" si="1"/>
        <v>39.508147890977448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2151240</v>
      </c>
      <c r="M18" s="23">
        <f t="shared" ca="1" si="11"/>
        <v>1699088</v>
      </c>
      <c r="N18" s="23">
        <f t="shared" ca="1" si="11"/>
        <v>1320682.6499999999</v>
      </c>
      <c r="O18" s="22">
        <f t="shared" ref="O18:O20" ca="1" si="12">IF(L18&gt;0,N18*100/L18,0)</f>
        <v>61.391692698164775</v>
      </c>
      <c r="P18" s="22">
        <f t="shared" ref="P18:P26" ca="1" si="13">IF(M18&gt;0,N18*100/M18,0)</f>
        <v>77.72891398208921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2151240</v>
      </c>
      <c r="M20" s="30">
        <f t="shared" ca="1" si="15"/>
        <v>1699088</v>
      </c>
      <c r="N20" s="30">
        <f t="shared" ca="1" si="15"/>
        <v>1320682.6499999999</v>
      </c>
      <c r="O20" s="29">
        <f t="shared" ca="1" si="12"/>
        <v>61.391692698164775</v>
      </c>
      <c r="P20" s="29">
        <f t="shared" ca="1" si="13"/>
        <v>77.72891398208921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1863240</v>
      </c>
      <c r="M22" s="41">
        <f t="shared" ca="1" si="18"/>
        <v>1411088</v>
      </c>
      <c r="N22" s="38">
        <f t="shared" ca="1" si="18"/>
        <v>1032682.65</v>
      </c>
      <c r="O22" s="38">
        <f t="shared" ca="1" si="17"/>
        <v>55.424027500483028</v>
      </c>
      <c r="P22" s="38">
        <f t="shared" ca="1" si="13"/>
        <v>73.18343363418866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385540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628342</v>
      </c>
      <c r="M28" s="23">
        <f t="shared" si="23"/>
        <v>0</v>
      </c>
      <c r="N28" s="23">
        <f t="shared" ca="1" si="23"/>
        <v>400566</v>
      </c>
      <c r="O28" s="22">
        <f t="shared" ref="O28:O30" ca="1" si="24">IF(L28&gt;0,N28*100/L28,0)</f>
        <v>63.74967772327809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628342</v>
      </c>
      <c r="M30" s="30">
        <f t="shared" si="27"/>
        <v>0</v>
      </c>
      <c r="N30" s="30">
        <f t="shared" ca="1" si="27"/>
        <v>400566</v>
      </c>
      <c r="O30" s="29">
        <f t="shared" ca="1" si="24"/>
        <v>63.74967772327809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628342</v>
      </c>
      <c r="M32" s="38">
        <f t="shared" si="30"/>
        <v>0</v>
      </c>
      <c r="N32" s="38">
        <f t="shared" ca="1" si="30"/>
        <v>400566</v>
      </c>
      <c r="O32" s="38">
        <f t="shared" ca="1" si="29"/>
        <v>63.74967772327809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628342</v>
      </c>
      <c r="M34" s="38">
        <f t="shared" si="32"/>
        <v>0</v>
      </c>
      <c r="N34" s="38">
        <f t="shared" ca="1" si="32"/>
        <v>400566</v>
      </c>
      <c r="O34" s="38">
        <f t="shared" ca="1" si="29"/>
        <v>63.74967772327809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2151240</v>
      </c>
      <c r="M37" s="54">
        <f t="shared" ca="1" si="33"/>
        <v>1699088</v>
      </c>
      <c r="N37" s="54">
        <f t="shared" ca="1" si="33"/>
        <v>1320682.6499999999</v>
      </c>
      <c r="O37" s="55">
        <f t="shared" ca="1" si="29"/>
        <v>61.391692698164775</v>
      </c>
      <c r="P37" s="55">
        <f t="shared" ca="1" si="25"/>
        <v>77.72891398208921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760500</v>
      </c>
      <c r="N41" s="78">
        <f t="shared" ca="1" si="34"/>
        <v>626361.65</v>
      </c>
      <c r="O41" s="77">
        <f t="shared" ref="O41:O43" ca="1" si="35">IF(L41&gt;0,N41*100/L41,0)</f>
        <v>68.238549950975056</v>
      </c>
      <c r="P41" s="77">
        <f t="shared" ref="P41:P43" ca="1" si="36">IF(M41&gt;0,N41*100/M41,0)</f>
        <v>82.36182117028271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760500</v>
      </c>
      <c r="N43" s="78">
        <f t="shared" ca="1" si="38"/>
        <v>626361.65</v>
      </c>
      <c r="O43" s="77">
        <f t="shared" ca="1" si="35"/>
        <v>68.238549950975056</v>
      </c>
      <c r="P43" s="77">
        <f t="shared" ca="1" si="36"/>
        <v>82.36182117028271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IFERROR(__xludf.DUMMYFUNCTION("IMPORTRANGE(""https://docs.google.com/spreadsheets/d/1Yj_ptqi66GCucihVvJfMjLAmec39IyEx_6qawtMGysU/edit?usp=sharing"",""สบก!Q64"")"),472500)</f>
        <v>472500</v>
      </c>
      <c r="N45" s="49">
        <f ca="1">IFERROR(__xludf.DUMMYFUNCTION("IMPORTRANGE(""https://docs.google.com/spreadsheets/d/1Yj_ptqi66GCucihVvJfMjLAmec39IyEx_6qawtMGysU/edit?usp=sharing"",""สบก!R64"")"),338361.65)</f>
        <v>338361.65</v>
      </c>
      <c r="O45" s="38">
        <f ca="1">IF(L45&gt;0,N45*100/L45,0)</f>
        <v>53.716724876964598</v>
      </c>
      <c r="P45" s="38">
        <f ca="1">IF(M45&gt;0,N45*100/M45,0)</f>
        <v>71.61093121693122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279913</v>
      </c>
      <c r="N53" s="121">
        <f t="shared" ca="1" si="39"/>
        <v>157751</v>
      </c>
      <c r="O53" s="120">
        <f t="shared" ref="O53:O55" ca="1" si="40">IF(L53&gt;0,N53*100/L53,0)</f>
        <v>44.562429378531071</v>
      </c>
      <c r="P53" s="120">
        <f t="shared" ref="P53:P55" ca="1" si="41">IF(M53&gt;0,N53*100/M53,0)</f>
        <v>56.357153829940017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279913</v>
      </c>
      <c r="N55" s="121">
        <f t="shared" ca="1" si="43"/>
        <v>157751</v>
      </c>
      <c r="O55" s="120">
        <f t="shared" ca="1" si="40"/>
        <v>44.562429378531071</v>
      </c>
      <c r="P55" s="120">
        <f t="shared" ca="1" si="41"/>
        <v>56.357153829940017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IFERROR(__xludf.DUMMYFUNCTION("IMPORTRANGE(""https://docs.google.com/spreadsheets/d/1Yj_ptqi66GCucihVvJfMjLAmec39IyEx_6qawtMGysU/edit?usp=sharing"",""สบก!Z64"")"),279913)</f>
        <v>279913</v>
      </c>
      <c r="N57" s="49">
        <f ca="1">IFERROR(__xludf.DUMMYFUNCTION("IMPORTRANGE(""https://docs.google.com/spreadsheets/d/1Yj_ptqi66GCucihVvJfMjLAmec39IyEx_6qawtMGysU/edit?usp=sharing"",""สบก!AA64"")"),157751)</f>
        <v>157751</v>
      </c>
      <c r="O57" s="38">
        <f ca="1">IF(L57&gt;0,N57*100/L57,0)</f>
        <v>44.562429378531071</v>
      </c>
      <c r="P57" s="38">
        <f ca="1">IF(M57&gt;0,N57*100/M57,0)</f>
        <v>56.357153829940017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IFERROR(__xludf.DUMMYFUNCTION("IMPORTRANGE(""https://docs.google.com/spreadsheets/d/1Yj_ptqi66GCucihVvJfMjLAmec39IyEx_6qawtMGysU/edit?usp=sharing"",""สบก!AI64"")"),0)</f>
        <v>0</v>
      </c>
      <c r="N70" s="169">
        <f ca="1">IFERROR(__xludf.DUMMYFUNCTION("IMPORTRANGE(""https://docs.google.com/spreadsheets/d/1Yj_ptqi66GCucihVvJfMjLAmec39IyEx_6qawtMGysU/edit?usp=sharing"",""สบก!AJ64"")"),0)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IFERROR(__xludf.DUMMYFUNCTION("IMPORTRANGE(""https://docs.google.com/spreadsheets/d/1SX6NBoVAgQJ6U1MVXOaj8PK2l7WJ3RER9xtqwdhxkhw/edit?usp=sharing"",""ตราด!J50"")"),0)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271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IFERROR(__xludf.DUMMYFUNCTION("IMPORTRANGE(""https://docs.google.com/spreadsheets/d/1SX6NBoVAgQJ6U1MVXOaj8PK2l7WJ3RER9xtqwdhxkhw/edit?usp=sharing"",""ตราด!J65"")"),0)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IFERROR(__xludf.DUMMYFUNCTION("IMPORTRANGE(""https://docs.google.com/spreadsheets/d/1SX6NBoVAgQJ6U1MVXOaj8PK2l7WJ3RER9xtqwdhxkhw/edit?usp=sharing"",""ตราด!I68"")"),0)</f>
        <v>0</v>
      </c>
      <c r="J138" s="267">
        <f ca="1">IFERROR(__xludf.DUMMYFUNCTION("IMPORTRANGE(""https://docs.google.com/spreadsheets/d/1SX6NBoVAgQJ6U1MVXOaj8PK2l7WJ3RER9xtqwdhxkhw/edit?usp=sharing"",""ตราด!J68"")"),0)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43100</v>
      </c>
      <c r="M140" s="152">
        <f t="shared" ca="1" si="64"/>
        <v>37225</v>
      </c>
      <c r="N140" s="152">
        <f t="shared" ca="1" si="64"/>
        <v>34980</v>
      </c>
      <c r="O140" s="151">
        <f t="shared" ref="O140:O142" ca="1" si="65">IF(L140&gt;0,N140*100/L140,0)</f>
        <v>81.16009280742459</v>
      </c>
      <c r="P140" s="151">
        <f t="shared" ref="P140:P142" ca="1" si="66">IF(M140&gt;0,N140*100/M140,0)</f>
        <v>93.969106783075887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43100</v>
      </c>
      <c r="M142" s="157">
        <f t="shared" ca="1" si="68"/>
        <v>37225</v>
      </c>
      <c r="N142" s="157">
        <f t="shared" ca="1" si="68"/>
        <v>34980</v>
      </c>
      <c r="O142" s="156">
        <f t="shared" ca="1" si="65"/>
        <v>81.16009280742459</v>
      </c>
      <c r="P142" s="156">
        <f t="shared" ca="1" si="66"/>
        <v>93.969106783075887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43100</v>
      </c>
      <c r="M144" s="168">
        <f ca="1">IFERROR(__xludf.DUMMYFUNCTION("IMPORTRANGE(""https://docs.google.com/spreadsheets/d/1Yj_ptqi66GCucihVvJfMjLAmec39IyEx_6qawtMGysU/edit?usp=sharing"",""สบก!BJ64"")"),37225)</f>
        <v>37225</v>
      </c>
      <c r="N144" s="169">
        <f ca="1">IFERROR(__xludf.DUMMYFUNCTION("IMPORTRANGE(""https://docs.google.com/spreadsheets/d/1Yj_ptqi66GCucihVvJfMjLAmec39IyEx_6qawtMGysU/edit?usp=sharing"",""สบก!BK64"")"),34980)</f>
        <v>34980</v>
      </c>
      <c r="O144" s="169">
        <f ca="1">IF(L144&gt;0,N144*100/L144,0)</f>
        <v>81.16009280742459</v>
      </c>
      <c r="P144" s="169">
        <f ca="1">IF(M144&gt;0,N144*100/M144,0)</f>
        <v>93.969106783075887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IFERROR(__xludf.DUMMYFUNCTION("IMPORTRANGE(""https://docs.google.com/spreadsheets/d/1Yj_ptqi66GCucihVvJfMjLAmec39IyEx_6qawtMGysU/edit?usp=sharing"",""สบก!BG64"")"),43100)</f>
        <v>43100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IFERROR(__xludf.DUMMYFUNCTION("IMPORTRANGE(""https://docs.google.com/spreadsheets/d/1SX6NBoVAgQJ6U1MVXOaj8PK2l7WJ3RER9xtqwdhxkhw/edit?usp=sharing"",""ตราด!I74"")"),4)</f>
        <v>4</v>
      </c>
      <c r="J149" s="275">
        <f ca="1">IFERROR(__xludf.DUMMYFUNCTION("IMPORTRANGE(""https://docs.google.com/spreadsheets/d/1SX6NBoVAgQJ6U1MVXOaj8PK2l7WJ3RER9xtqwdhxkhw/edit?usp=sharing"",""ตราด!J74"")"),2)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IFERROR(__xludf.DUMMYFUNCTION("IMPORTRANGE(""https://docs.google.com/spreadsheets/d/1SX6NBoVAgQJ6U1MVXOaj8PK2l7WJ3RER9xtqwdhxkhw/edit?usp=sharing"",""ตราด!J84"")"),52)</f>
        <v>52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IFERROR(__xludf.DUMMYFUNCTION("IMPORTRANGE(""https://docs.google.com/spreadsheets/d/1SX6NBoVAgQJ6U1MVXOaj8PK2l7WJ3RER9xtqwdhxkhw/edit?usp=sharing"",""ตราด!J85"")"),52)</f>
        <v>52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IFERROR(__xludf.DUMMYFUNCTION("IMPORTRANGE(""https://docs.google.com/spreadsheets/d/1SX6NBoVAgQJ6U1MVXOaj8PK2l7WJ3RER9xtqwdhxkhw/edit?usp=sharing"",""ตราด!J88"")"),0)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IFERROR(__xludf.DUMMYFUNCTION("IMPORTRANGE(""https://docs.google.com/spreadsheets/d/1SX6NBoVAgQJ6U1MVXOaj8PK2l7WJ3RER9xtqwdhxkhw/edit?usp=sharing"",""ตราด!I89"")"),1)</f>
        <v>1</v>
      </c>
      <c r="J164" s="284">
        <f ca="1">IFERROR(__xludf.DUMMYFUNCTION("IMPORTRANGE(""https://docs.google.com/spreadsheets/d/1SX6NBoVAgQJ6U1MVXOaj8PK2l7WJ3RER9xtqwdhxkhw/edit?usp=sharing"",""ตราด!J89"")"),1)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IFERROR(__xludf.DUMMYFUNCTION("IMPORTRANGE(""https://docs.google.com/spreadsheets/d/1SX6NBoVAgQJ6U1MVXOaj8PK2l7WJ3RER9xtqwdhxkhw/edit?usp=sharing"",""ตราด!J100"")"),0)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IFERROR(__xludf.DUMMYFUNCTION("IMPORTRANGE(""https://docs.google.com/spreadsheets/d/1SX6NBoVAgQJ6U1MVXOaj8PK2l7WJ3RER9xtqwdhxkhw/edit?usp=sharing"",""ตราด!I101"")"),1)</f>
        <v>1</v>
      </c>
      <c r="J176" s="284">
        <f ca="1">IFERROR(__xludf.DUMMYFUNCTION("IMPORTRANGE(""https://docs.google.com/spreadsheets/d/1SX6NBoVAgQJ6U1MVXOaj8PK2l7WJ3RER9xtqwdhxkhw/edit?usp=sharing"",""ตราด!J101"")"),1)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IFERROR(__xludf.DUMMYFUNCTION("IMPORTRANGE(""https://docs.google.com/spreadsheets/d/1SX6NBoVAgQJ6U1MVXOaj8PK2l7WJ3RER9xtqwdhxkhw/edit?usp=sharing"",""ตราด!J110"")"),1)</f>
        <v>1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IFERROR(__xludf.DUMMYFUNCTION("IMPORTRANGE(""https://docs.google.com/spreadsheets/d/1SX6NBoVAgQJ6U1MVXOaj8PK2l7WJ3RER9xtqwdhxkhw/edit?usp=sharing"",""ตราด!J113"")"),0)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IFERROR(__xludf.DUMMYFUNCTION("IMPORTRANGE(""https://docs.google.com/spreadsheets/d/1SX6NBoVAgQJ6U1MVXOaj8PK2l7WJ3RER9xtqwdhxkhw/edit?usp=sharing"",""ตราด!I114"")"),3200)</f>
        <v>3200</v>
      </c>
      <c r="J189" s="284">
        <f ca="1">IFERROR(__xludf.DUMMYFUNCTION("IMPORTRANGE(""https://docs.google.com/spreadsheets/d/1SX6NBoVAgQJ6U1MVXOaj8PK2l7WJ3RER9xtqwdhxkhw/edit?usp=sharing"",""ตราด!J114"")"),0)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IFERROR(__xludf.DUMMYFUNCTION("IMPORTRANGE(""https://docs.google.com/spreadsheets/d/1SX6NBoVAgQJ6U1MVXOaj8PK2l7WJ3RER9xtqwdhxkhw/edit?usp=sharing"",""ตราด!J124"")"),3200)</f>
        <v>3200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IFERROR(__xludf.DUMMYFUNCTION("IMPORTRANGE(""https://docs.google.com/spreadsheets/d/1SX6NBoVAgQJ6U1MVXOaj8PK2l7WJ3RER9xtqwdhxkhw/edit?usp=sharing"",""ตราด!J128"")"),0)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IFERROR(__xludf.DUMMYFUNCTION("IMPORTRANGE(""https://docs.google.com/spreadsheets/d/1SX6NBoVAgQJ6U1MVXOaj8PK2l7WJ3RER9xtqwdhxkhw/edit?usp=sharing"",""ตราด!I129"")"),0)</f>
        <v>0</v>
      </c>
      <c r="J204" s="284">
        <f ca="1">IFERROR(__xludf.DUMMYFUNCTION("IMPORTRANGE(""https://docs.google.com/spreadsheets/d/1SX6NBoVAgQJ6U1MVXOaj8PK2l7WJ3RER9xtqwdhxkhw/edit?usp=sharing"",""ตราด!J129"")"),0)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IFERROR(__xludf.DUMMYFUNCTION("IMPORTRANGE(""https://docs.google.com/spreadsheets/d/1SX6NBoVAgQJ6U1MVXOaj8PK2l7WJ3RER9xtqwdhxkhw/edit?usp=sharing"",""ตราด!J143"")"),0)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IFERROR(__xludf.DUMMYFUNCTION("IMPORTRANGE(""https://docs.google.com/spreadsheets/d/1SX6NBoVAgQJ6U1MVXOaj8PK2l7WJ3RER9xtqwdhxkhw/edit?usp=sharing"",""ตราด!I144"")"),14)</f>
        <v>14</v>
      </c>
      <c r="J219" s="267">
        <f ca="1">IFERROR(__xludf.DUMMYFUNCTION("IMPORTRANGE(""https://docs.google.com/spreadsheets/d/1SX6NBoVAgQJ6U1MVXOaj8PK2l7WJ3RER9xtqwdhxkhw/edit?usp=sharing"",""ตราด!J144"")"),14)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IFERROR(__xludf.DUMMYFUNCTION("IMPORTRANGE(""https://docs.google.com/spreadsheets/d/1Yj_ptqi66GCucihVvJfMjLAmec39IyEx_6qawtMGysU/edit?usp=sharing"",""สบก!BS64"")"),20210)</f>
        <v>20210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IFERROR(__xludf.DUMMYFUNCTION("IMPORTRANGE(""https://docs.google.com/spreadsheets/d/1SX6NBoVAgQJ6U1MVXOaj8PK2l7WJ3RER9xtqwdhxkhw/edit?usp=sharing"",""ตราด!I149"")"),14)</f>
        <v>14</v>
      </c>
      <c r="J229" s="267">
        <f ca="1">IFERROR(__xludf.DUMMYFUNCTION("IMPORTRANGE(""https://docs.google.com/spreadsheets/d/1SX6NBoVAgQJ6U1MVXOaj8PK2l7WJ3RER9xtqwdhxkhw/edit?usp=sharing"",""ตราด!J149"")"),14)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IFERROR(__xludf.DUMMYFUNCTION("IMPORTRANGE(""https://docs.google.com/spreadsheets/d/1SX6NBoVAgQJ6U1MVXOaj8PK2l7WJ3RER9xtqwdhxkhw/edit?usp=sharing"",""ตราด!J157"")"),0)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IFERROR(__xludf.DUMMYFUNCTION("IMPORTRANGE(""https://docs.google.com/spreadsheets/d/1SX6NBoVAgQJ6U1MVXOaj8PK2l7WJ3RER9xtqwdhxkhw/edit?usp=sharing"",""ตราด!I158"")"),0)</f>
        <v>0</v>
      </c>
      <c r="J238" s="267">
        <f ca="1">IFERROR(__xludf.DUMMYFUNCTION("IMPORTRANGE(""https://docs.google.com/spreadsheets/d/1SX6NBoVAgQJ6U1MVXOaj8PK2l7WJ3RER9xtqwdhxkhw/edit?usp=sharing"",""ตราด!J158"")"),0)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IFERROR(__xludf.DUMMYFUNCTION("IMPORTRANGE(""https://docs.google.com/spreadsheets/d/1SX6NBoVAgQJ6U1MVXOaj8PK2l7WJ3RER9xtqwdhxkhw/edit?usp=sharing"",""ตราด!J166"")"),0)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IFERROR(__xludf.DUMMYFUNCTION("IMPORTRANGE(""https://docs.google.com/spreadsheets/d/1SX6NBoVAgQJ6U1MVXOaj8PK2l7WJ3RER9xtqwdhxkhw/edit?usp=sharing"",""ตราด!I169"")"),0)</f>
        <v>0</v>
      </c>
      <c r="J249" s="316">
        <f ca="1">IFERROR(__xludf.DUMMYFUNCTION("IMPORTRANGE(""https://docs.google.com/spreadsheets/d/1SX6NBoVAgQJ6U1MVXOaj8PK2l7WJ3RER9xtqwdhxkhw/edit?usp=sharing"",""ตราด!J169"")"),0)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IFERROR(__xludf.DUMMYFUNCTION("IMPORTRANGE(""https://docs.google.com/spreadsheets/d/1SX6NBoVAgQJ6U1MVXOaj8PK2l7WJ3RER9xtqwdhxkhw/edit?usp=sharing"",""ตราด!J184"")"),0)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IFERROR(__xludf.DUMMYFUNCTION("IMPORTRANGE(""https://docs.google.com/spreadsheets/d/1SX6NBoVAgQJ6U1MVXOaj8PK2l7WJ3RER9xtqwdhxkhw/edit?usp=sharing"",""ตราด!I185"")"),0)</f>
        <v>0</v>
      </c>
      <c r="J270" s="316">
        <f ca="1">IFERROR(__xludf.DUMMYFUNCTION("IMPORTRANGE(""https://docs.google.com/spreadsheets/d/1SX6NBoVAgQJ6U1MVXOaj8PK2l7WJ3RER9xtqwdhxkhw/edit?usp=sharing"",""ตราด!J185"")"),0)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IFERROR(__xludf.DUMMYFUNCTION("IMPORTRANGE(""https://docs.google.com/spreadsheets/d/1SX6NBoVAgQJ6U1MVXOaj8PK2l7WJ3RER9xtqwdhxkhw/edit?usp=sharing"",""ตราด!I199"")"),0)</f>
        <v>0</v>
      </c>
      <c r="J289" s="316">
        <f ca="1">IFERROR(__xludf.DUMMYFUNCTION("IMPORTRANGE(""https://docs.google.com/spreadsheets/d/1SX6NBoVAgQJ6U1MVXOaj8PK2l7WJ3RER9xtqwdhxkhw/edit?usp=sharing"",""ตราด!J199"")"),0)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IFERROR(__xludf.DUMMYFUNCTION("IMPORTRANGE(""https://docs.google.com/spreadsheets/d/1SX6NBoVAgQJ6U1MVXOaj8PK2l7WJ3RER9xtqwdhxkhw/edit?usp=sharing"",""ตราด!J213"")"),0)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IFERROR(__xludf.DUMMYFUNCTION("IMPORTRANGE(""https://docs.google.com/spreadsheets/d/1SX6NBoVAgQJ6U1MVXOaj8PK2l7WJ3RER9xtqwdhxkhw/edit?usp=sharing"",""ตราด!I214"")"),0)</f>
        <v>0</v>
      </c>
      <c r="J309" s="333">
        <f ca="1">IFERROR(__xludf.DUMMYFUNCTION("IMPORTRANGE(""https://docs.google.com/spreadsheets/d/1SX6NBoVAgQJ6U1MVXOaj8PK2l7WJ3RER9xtqwdhxkhw/edit?usp=sharing"",""ตราด!J214"")"),0)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IFERROR(__xludf.DUMMYFUNCTION("IMPORTRANGE(""https://docs.google.com/spreadsheets/d/1SX6NBoVAgQJ6U1MVXOaj8PK2l7WJ3RER9xtqwdhxkhw/edit?usp=sharing"",""ตราด!J226"")"),0)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IFERROR(__xludf.DUMMYFUNCTION("IMPORTRANGE(""https://docs.google.com/spreadsheets/d/1SX6NBoVAgQJ6U1MVXOaj8PK2l7WJ3RER9xtqwdhxkhw/edit?usp=sharing"",""ตราด!I228"")"),170)</f>
        <v>170</v>
      </c>
      <c r="J328" s="339">
        <f ca="1">IFERROR(__xludf.DUMMYFUNCTION("IMPORTRANGE(""https://docs.google.com/spreadsheets/d/1SX6NBoVAgQJ6U1MVXOaj8PK2l7WJ3RER9xtqwdhxkhw/edit?usp=sharing"",""ตราด!J228"")"),61)</f>
        <v>61</v>
      </c>
      <c r="K328" s="317">
        <f ca="1">IF(I328&gt;0,J328*100/I328,0)</f>
        <v>35.882352941176471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816030</v>
      </c>
      <c r="M329" s="152">
        <f t="shared" ca="1" si="98"/>
        <v>601240</v>
      </c>
      <c r="N329" s="152">
        <f t="shared" ca="1" si="98"/>
        <v>481380</v>
      </c>
      <c r="O329" s="151">
        <f t="shared" ref="O329:O331" ca="1" si="99">IF(L329&gt;0,N329*100/L329,0)</f>
        <v>58.990478291239292</v>
      </c>
      <c r="P329" s="151">
        <f t="shared" ref="P329:P331" ca="1" si="100">IF(M329&gt;0,N329*100/M329,0)</f>
        <v>80.064533297851114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816030</v>
      </c>
      <c r="M331" s="157">
        <f t="shared" ca="1" si="102"/>
        <v>601240</v>
      </c>
      <c r="N331" s="157">
        <f t="shared" ca="1" si="102"/>
        <v>481380</v>
      </c>
      <c r="O331" s="156">
        <f t="shared" ca="1" si="99"/>
        <v>58.990478291239292</v>
      </c>
      <c r="P331" s="156">
        <f t="shared" ca="1" si="100"/>
        <v>80.064533297851114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816030</v>
      </c>
      <c r="M333" s="168">
        <f ca="1">IFERROR(__xludf.DUMMYFUNCTION("IMPORTRANGE(""https://docs.google.com/spreadsheets/d/1Yj_ptqi66GCucihVvJfMjLAmec39IyEx_6qawtMGysU/edit?usp=sharing"",""สบก!DL64"")"),601240)</f>
        <v>601240</v>
      </c>
      <c r="N333" s="169">
        <f ca="1">IFERROR(__xludf.DUMMYFUNCTION("IMPORTRANGE(""https://docs.google.com/spreadsheets/d/1Yj_ptqi66GCucihVvJfMjLAmec39IyEx_6qawtMGysU/edit?usp=sharing"",""สบก!DM64"")"),481380)</f>
        <v>481380</v>
      </c>
      <c r="O333" s="169">
        <f ca="1">IF(L333&gt;0,N333*100/L333,0)</f>
        <v>58.990478291239292</v>
      </c>
      <c r="P333" s="169">
        <f ca="1">IF(M333&gt;0,N333*100/M333,0)</f>
        <v>80.064533297851114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IFERROR(__xludf.DUMMYFUNCTION("IMPORTRANGE(""https://docs.google.com/spreadsheets/d/1Yj_ptqi66GCucihVvJfMjLAmec39IyEx_6qawtMGysU/edit?usp=sharing"",""สบก!DI64"")"),322230)</f>
        <v>322230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IFERROR(__xludf.DUMMYFUNCTION("IMPORTRANGE(""https://docs.google.com/spreadsheets/d/1SX6NBoVAgQJ6U1MVXOaj8PK2l7WJ3RER9xtqwdhxkhw/edit?usp=sharing"",""ตราด!J234"")"),34)</f>
        <v>34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IFERROR(__xludf.DUMMYFUNCTION("IMPORTRANGE(""https://docs.google.com/spreadsheets/d/1SX6NBoVAgQJ6U1MVXOaj8PK2l7WJ3RER9xtqwdhxkhw/edit?usp=sharing"",""ตราด!J235"")"),353.4)</f>
        <v>353.4</v>
      </c>
      <c r="K340" s="342">
        <f t="shared" ca="1" si="103"/>
        <v>22.087499999999999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IFERROR(__xludf.DUMMYFUNCTION("IMPORTRANGE(""https://docs.google.com/spreadsheets/d/1SX6NBoVAgQJ6U1MVXOaj8PK2l7WJ3RER9xtqwdhxkhw/edit?usp=sharing"",""ตราด!J236"")"),64)</f>
        <v>64</v>
      </c>
      <c r="K341" s="342">
        <f t="shared" ca="1" si="103"/>
        <v>37.647058823529413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IFERROR(__xludf.DUMMYFUNCTION("IMPORTRANGE(""https://docs.google.com/spreadsheets/d/1SX6NBoVAgQJ6U1MVXOaj8PK2l7WJ3RER9xtqwdhxkhw/edit?usp=sharing"",""ตราด!J237"")"),1148.17)</f>
        <v>1148.17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IFERROR(__xludf.DUMMYFUNCTION("IMPORTRANGE(""https://docs.google.com/spreadsheets/d/1SX6NBoVAgQJ6U1MVXOaj8PK2l7WJ3RER9xtqwdhxkhw/edit?usp=sharing"",""ตราด!J240"")"),61)</f>
        <v>61</v>
      </c>
      <c r="K345" s="342">
        <f t="shared" ca="1" si="103"/>
        <v>35.882352941176471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IFERROR(__xludf.DUMMYFUNCTION("IMPORTRANGE(""https://docs.google.com/spreadsheets/d/1SX6NBoVAgQJ6U1MVXOaj8PK2l7WJ3RER9xtqwdhxkhw/edit?usp=sharing"",""ตราด!J241"")"),1099.65)</f>
        <v>1099.6500000000001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IFERROR(__xludf.DUMMYFUNCTION("IMPORTRANGE(""https://docs.google.com/spreadsheets/d/1SX6NBoVAgQJ6U1MVXOaj8PK2l7WJ3RER9xtqwdhxkhw/edit?usp=sharing"",""ตราด!L242"")"),628342)</f>
        <v>628342</v>
      </c>
      <c r="M347" s="358"/>
      <c r="N347" s="358">
        <f ca="1">IFERROR(__xludf.DUMMYFUNCTION("IMPORTRANGE(""https://docs.google.com/spreadsheets/d/1SX6NBoVAgQJ6U1MVXOaj8PK2l7WJ3RER9xtqwdhxkhw/edit?usp=sharing"",""ตราด!M242"")"),400566)</f>
        <v>400566</v>
      </c>
      <c r="O347" s="358">
        <f ca="1">+IF(L347&gt;0,N347*100/L347,0)</f>
        <v>63.74967772327809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IFERROR(__xludf.DUMMYFUNCTION("IMPORTRANGE(""https://docs.google.com/spreadsheets/d/1SX6NBoVAgQJ6U1MVXOaj8PK2l7WJ3RER9xtqwdhxkhw/edit?usp=sharing"",""ตราด!M275"")"),195469)</f>
        <v>195469</v>
      </c>
      <c r="O380" s="373">
        <f ca="1">+IF(L380&gt;0,N380*100/L380,0)</f>
        <v>94.174696473308927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IFERROR(__xludf.DUMMYFUNCTION("IMPORTRANGE(""https://docs.google.com/spreadsheets/d/1SX6NBoVAgQJ6U1MVXOaj8PK2l7WJ3RER9xtqwdhxkhw/edit?usp=sharing"",""ตราด!M278"")"),195469)</f>
        <v>195469</v>
      </c>
      <c r="O383" s="165">
        <f t="shared" ca="1" si="109"/>
        <v>94.174696473308927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IFERROR(__xludf.DUMMYFUNCTION("IMPORTRANGE(""https://docs.google.com/spreadsheets/d/1SX6NBoVAgQJ6U1MVXOaj8PK2l7WJ3RER9xtqwdhxkhw/edit?usp=sharing"",""ตราด!M280"")"),195469)</f>
        <v>195469</v>
      </c>
      <c r="O385" s="169">
        <f t="shared" ca="1" si="109"/>
        <v>94.174696473308927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IFERROR(__xludf.DUMMYFUNCTION("IMPORTRANGE(""https://docs.google.com/spreadsheets/d/1SX6NBoVAgQJ6U1MVXOaj8PK2l7WJ3RER9xtqwdhxkhw/edit?usp=sharing"",""ตราด!M282"")"),125000)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IFERROR(__xludf.DUMMYFUNCTION("IMPORTRANGE(""https://docs.google.com/spreadsheets/d/1SX6NBoVAgQJ6U1MVXOaj8PK2l7WJ3RER9xtqwdhxkhw/edit?usp=sharing"",""ตราด!M284"")"),11669)</f>
        <v>11669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IFERROR(__xludf.DUMMYFUNCTION("IMPORTRANGE(""https://docs.google.com/spreadsheets/d/1SX6NBoVAgQJ6U1MVXOaj8PK2l7WJ3RER9xtqwdhxkhw/edit?usp=sharing"",""ตราด!M296"")"),97565)</f>
        <v>97565</v>
      </c>
      <c r="O401" s="373">
        <f ca="1">+IF(L401&gt;0,N401*100/L401,0)</f>
        <v>83.876375515818438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IFERROR(__xludf.DUMMYFUNCTION("IMPORTRANGE(""https://docs.google.com/spreadsheets/d/1SX6NBoVAgQJ6U1MVXOaj8PK2l7WJ3RER9xtqwdhxkhw/edit?usp=sharing"",""ตราด!M299"")"),97565)</f>
        <v>97565</v>
      </c>
      <c r="O404" s="169">
        <f t="shared" ca="1" si="112"/>
        <v>83.876375515818438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IFERROR(__xludf.DUMMYFUNCTION("IMPORTRANGE(""https://docs.google.com/spreadsheets/d/1SX6NBoVAgQJ6U1MVXOaj8PK2l7WJ3RER9xtqwdhxkhw/edit?usp=sharing"",""ตราด!M301"")"),97565)</f>
        <v>97565</v>
      </c>
      <c r="O406" s="169">
        <f t="shared" ca="1" si="112"/>
        <v>83.876375515818438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IFERROR(__xludf.DUMMYFUNCTION("IMPORTRANGE(""https://docs.google.com/spreadsheets/d/1SX6NBoVAgQJ6U1MVXOaj8PK2l7WJ3RER9xtqwdhxkhw/edit?usp=sharing"",""ตราด!M305"")"),6065)</f>
        <v>6065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IFERROR(__xludf.DUMMYFUNCTION("IMPORTRANGE(""https://docs.google.com/spreadsheets/d/1SX6NBoVAgQJ6U1MVXOaj8PK2l7WJ3RER9xtqwdhxkhw/edit?usp=sharing"",""ตราด!M330"")"),45443)</f>
        <v>45443</v>
      </c>
      <c r="O435" s="412">
        <f t="shared" ref="O435:O439" ca="1" si="114">+IF(L435&gt;0,N435*100/L435,0)</f>
        <v>59.016883116883115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IFERROR(__xludf.DUMMYFUNCTION("IMPORTRANGE(""https://docs.google.com/spreadsheets/d/1SX6NBoVAgQJ6U1MVXOaj8PK2l7WJ3RER9xtqwdhxkhw/edit?usp=sharing"",""ตราด!M332"")"),45443)</f>
        <v>45443</v>
      </c>
      <c r="O437" s="169">
        <f t="shared" ca="1" si="114"/>
        <v>59.016883116883115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IFERROR(__xludf.DUMMYFUNCTION("IMPORTRANGE(""https://docs.google.com/spreadsheets/d/1SX6NBoVAgQJ6U1MVXOaj8PK2l7WJ3RER9xtqwdhxkhw/edit?usp=sharing"",""ตราด!M334"")"),45443)</f>
        <v>45443</v>
      </c>
      <c r="O439" s="169">
        <f t="shared" ca="1" si="114"/>
        <v>59.016883116883115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IFERROR(__xludf.DUMMYFUNCTION("IMPORTRANGE(""https://docs.google.com/spreadsheets/d/1SX6NBoVAgQJ6U1MVXOaj8PK2l7WJ3RER9xtqwdhxkhw/edit?usp=sharing"",""ตราด!M338"")"),6470)</f>
        <v>6470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IFERROR(__xludf.DUMMYFUNCTION("IMPORTRANGE(""https://docs.google.com/spreadsheets/d/1SX6NBoVAgQJ6U1MVXOaj8PK2l7WJ3RER9xtqwdhxkhw/edit?usp=sharing"",""ตราด!M350"")"),7880)</f>
        <v>7880</v>
      </c>
      <c r="O455" s="373">
        <f t="shared" ref="O455:O459" ca="1" si="116">+IF(L455&gt;0,N455*100/L455,0)</f>
        <v>11.893980559077463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IFERROR(__xludf.DUMMYFUNCTION("IMPORTRANGE(""https://docs.google.com/spreadsheets/d/1SX6NBoVAgQJ6U1MVXOaj8PK2l7WJ3RER9xtqwdhxkhw/edit?usp=sharing"",""ตราด!M352"")"),7880)</f>
        <v>7880</v>
      </c>
      <c r="O457" s="169">
        <f t="shared" ca="1" si="116"/>
        <v>11.893980559077463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IFERROR(__xludf.DUMMYFUNCTION("IMPORTRANGE(""https://docs.google.com/spreadsheets/d/1SX6NBoVAgQJ6U1MVXOaj8PK2l7WJ3RER9xtqwdhxkhw/edit?usp=sharing"",""ตราด!M354"")"),7880)</f>
        <v>7880</v>
      </c>
      <c r="O459" s="169">
        <f t="shared" ca="1" si="116"/>
        <v>11.893980559077463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IFERROR(__xludf.DUMMYFUNCTION("IMPORTRANGE(""https://docs.google.com/spreadsheets/d/1SX6NBoVAgQJ6U1MVXOaj8PK2l7WJ3RER9xtqwdhxkhw/edit?usp=sharing"",""ตราด!M358"")"),7880)</f>
        <v>7880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IFERROR(__xludf.DUMMYFUNCTION("IMPORTRANGE(""https://docs.google.com/spreadsheets/d/1SX6NBoVAgQJ6U1MVXOaj8PK2l7WJ3RER9xtqwdhxkhw/edit?usp=sharing"",""ตราด!I359"")"),0)</f>
        <v>0</v>
      </c>
      <c r="J464" s="267">
        <f ca="1">IFERROR(__xludf.DUMMYFUNCTION("IMPORTRANGE(""https://docs.google.com/spreadsheets/d/1SX6NBoVAgQJ6U1MVXOaj8PK2l7WJ3RER9xtqwdhxkhw/edit?usp=sharing"",""ตราด!J359"")"),0)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IFERROR(__xludf.DUMMYFUNCTION("IMPORTRANGE(""https://docs.google.com/spreadsheets/d/1SX6NBoVAgQJ6U1MVXOaj8PK2l7WJ3RER9xtqwdhxkhw/edit?usp=sharing"",""ตราด!J392"")"),666)</f>
        <v>666</v>
      </c>
      <c r="K497" s="444">
        <f t="shared" ca="1" si="117"/>
        <v>47.776183644189381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IFERROR(__xludf.DUMMYFUNCTION("IMPORTRANGE(""https://docs.google.com/spreadsheets/d/1SX6NBoVAgQJ6U1MVXOaj8PK2l7WJ3RER9xtqwdhxkhw/edit?usp=sharing"",""ตราด!J393"")"),666)</f>
        <v>666</v>
      </c>
      <c r="K498" s="202">
        <f t="shared" ca="1" si="117"/>
        <v>47.776183644189381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IFERROR(__xludf.DUMMYFUNCTION("IMPORTRANGE(""https://docs.google.com/spreadsheets/d/1SX6NBoVAgQJ6U1MVXOaj8PK2l7WJ3RER9xtqwdhxkhw/edit?usp=sharing"",""ตราด!J394"")"),41)</f>
        <v>41</v>
      </c>
      <c r="K499" s="202">
        <f t="shared" ca="1" si="117"/>
        <v>46.067415730337082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IFERROR(__xludf.DUMMYFUNCTION("IMPORTRANGE(""https://docs.google.com/spreadsheets/d/1SX6NBoVAgQJ6U1MVXOaj8PK2l7WJ3RER9xtqwdhxkhw/edit?usp=sharing"",""ตราด!J395"")"),666)</f>
        <v>666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IFERROR(__xludf.DUMMYFUNCTION("IMPORTRANGE(""https://docs.google.com/spreadsheets/d/1SX6NBoVAgQJ6U1MVXOaj8PK2l7WJ3RER9xtqwdhxkhw/edit?usp=sharing"",""ตราด!J396"")"),41)</f>
        <v>41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IFERROR(__xludf.DUMMYFUNCTION("IMPORTRANGE(""https://docs.google.com/spreadsheets/d/1SX6NBoVAgQJ6U1MVXOaj8PK2l7WJ3RER9xtqwdhxkhw/edit?usp=sharing"",""ตราด!J397"")"),666)</f>
        <v>666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IFERROR(__xludf.DUMMYFUNCTION("IMPORTRANGE(""https://docs.google.com/spreadsheets/d/1SX6NBoVAgQJ6U1MVXOaj8PK2l7WJ3RER9xtqwdhxkhw/edit?usp=sharing"",""ตราด!J398"")"),41)</f>
        <v>41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IFERROR(__xludf.DUMMYFUNCTION("IMPORTRANGE(""https://docs.google.com/spreadsheets/d/1SX6NBoVAgQJ6U1MVXOaj8PK2l7WJ3RER9xtqwdhxkhw/edit?usp=sharing"",""ตราด!I411"")"),0)</f>
        <v>0</v>
      </c>
      <c r="J516" s="267">
        <f ca="1">IFERROR(__xludf.DUMMYFUNCTION("IMPORTRANGE(""https://docs.google.com/spreadsheets/d/1SX6NBoVAgQJ6U1MVXOaj8PK2l7WJ3RER9xtqwdhxkhw/edit?usp=sharing"",""ตราด!J411"")"),0)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IFERROR(__xludf.DUMMYFUNCTION("IMPORTRANGE(""https://docs.google.com/spreadsheets/d/1SX6NBoVAgQJ6U1MVXOaj8PK2l7WJ3RER9xtqwdhxkhw/edit?usp=sharing"",""ตราด!I412"")"),0)</f>
        <v>0</v>
      </c>
      <c r="J517" s="284">
        <f ca="1">IFERROR(__xludf.DUMMYFUNCTION("IMPORTRANGE(""https://docs.google.com/spreadsheets/d/1SX6NBoVAgQJ6U1MVXOaj8PK2l7WJ3RER9xtqwdhxkhw/edit?usp=sharing"",""ตราด!J412"")"),0)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IFERROR(__xludf.DUMMYFUNCTION("IMPORTRANGE(""https://docs.google.com/spreadsheets/d/1SX6NBoVAgQJ6U1MVXOaj8PK2l7WJ3RER9xtqwdhxkhw/edit?usp=sharing"",""ตราด!I413"")"),0)</f>
        <v>0</v>
      </c>
      <c r="J518" s="284">
        <f ca="1">IFERROR(__xludf.DUMMYFUNCTION("IMPORTRANGE(""https://docs.google.com/spreadsheets/d/1SX6NBoVAgQJ6U1MVXOaj8PK2l7WJ3RER9xtqwdhxkhw/edit?usp=sharing"",""ตราด!J413"")"),0)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IFERROR(__xludf.DUMMYFUNCTION("IMPORTRANGE(""https://docs.google.com/spreadsheets/d/1SX6NBoVAgQJ6U1MVXOaj8PK2l7WJ3RER9xtqwdhxkhw/edit?usp=sharing"",""ตราด!I420"")"),0)</f>
        <v>0</v>
      </c>
      <c r="J525" s="284">
        <f ca="1">IFERROR(__xludf.DUMMYFUNCTION("IMPORTRANGE(""https://docs.google.com/spreadsheets/d/1SX6NBoVAgQJ6U1MVXOaj8PK2l7WJ3RER9xtqwdhxkhw/edit?usp=sharing"",""ตราด!J420"")"),0)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IFERROR(__xludf.DUMMYFUNCTION("IMPORTRANGE(""https://docs.google.com/spreadsheets/d/1SX6NBoVAgQJ6U1MVXOaj8PK2l7WJ3RER9xtqwdhxkhw/edit?usp=sharing"",""ตราด!I421"")"),0)</f>
        <v>0</v>
      </c>
      <c r="J526" s="284">
        <f ca="1">IFERROR(__xludf.DUMMYFUNCTION("IMPORTRANGE(""https://docs.google.com/spreadsheets/d/1SX6NBoVAgQJ6U1MVXOaj8PK2l7WJ3RER9xtqwdhxkhw/edit?usp=sharing"",""ตราด!J421"")"),0)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IFERROR(__xludf.DUMMYFUNCTION("IMPORTRANGE(""https://docs.google.com/spreadsheets/d/1SX6NBoVAgQJ6U1MVXOaj8PK2l7WJ3RER9xtqwdhxkhw/edit?usp=sharing"",""ตราด!M428"")"),23174)</f>
        <v>23174</v>
      </c>
      <c r="O533" s="412">
        <f t="shared" ref="O533:O537" ca="1" si="118">+IF(L533&gt;0,N533*100/L533,0)</f>
        <v>67.483983692486902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IFERROR(__xludf.DUMMYFUNCTION("IMPORTRANGE(""https://docs.google.com/spreadsheets/d/1SX6NBoVAgQJ6U1MVXOaj8PK2l7WJ3RER9xtqwdhxkhw/edit?usp=sharing"",""ตราด!M430"")"),23174)</f>
        <v>23174</v>
      </c>
      <c r="O535" s="169">
        <f t="shared" ca="1" si="118"/>
        <v>67.483983692486902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IFERROR(__xludf.DUMMYFUNCTION("IMPORTRANGE(""https://docs.google.com/spreadsheets/d/1SX6NBoVAgQJ6U1MVXOaj8PK2l7WJ3RER9xtqwdhxkhw/edit?usp=sharing"",""ตราด!M432"")"),23174)</f>
        <v>23174</v>
      </c>
      <c r="O537" s="169">
        <f t="shared" ca="1" si="118"/>
        <v>67.483983692486902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IFERROR(__xludf.DUMMYFUNCTION("IMPORTRANGE(""https://docs.google.com/spreadsheets/d/1SX6NBoVAgQJ6U1MVXOaj8PK2l7WJ3RER9xtqwdhxkhw/edit?usp=sharing"",""ตราด!M436"")"),6346)</f>
        <v>6346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IFERROR(__xludf.DUMMYFUNCTION("IMPORTRANGE(""https://docs.google.com/spreadsheets/d/1SX6NBoVAgQJ6U1MVXOaj8PK2l7WJ3RER9xtqwdhxkhw/edit?usp=sharing"",""ตราด!J459"")"),681)</f>
        <v>681</v>
      </c>
      <c r="K564" s="372">
        <f ca="1">IF(I564&gt;0,J564*100/I564,0)</f>
        <v>97.285714285714292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IFERROR(__xludf.DUMMYFUNCTION("IMPORTRANGE(""https://docs.google.com/spreadsheets/d/1SX6NBoVAgQJ6U1MVXOaj8PK2l7WJ3RER9xtqwdhxkhw/edit?usp=sharing"",""ตราด!M459"")"),27635)</f>
        <v>27635</v>
      </c>
      <c r="O564" s="373">
        <f t="shared" ref="O564:O568" ca="1" si="122">+IF(L564&gt;0,N564*100/L564,0)</f>
        <v>22.891815772034459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IFERROR(__xludf.DUMMYFUNCTION("IMPORTRANGE(""https://docs.google.com/spreadsheets/d/1SX6NBoVAgQJ6U1MVXOaj8PK2l7WJ3RER9xtqwdhxkhw/edit?usp=sharing"",""ตราด!M461"")"),27635)</f>
        <v>27635</v>
      </c>
      <c r="O566" s="169">
        <f t="shared" ca="1" si="122"/>
        <v>22.891815772034459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IFERROR(__xludf.DUMMYFUNCTION("IMPORTRANGE(""https://docs.google.com/spreadsheets/d/1SX6NBoVAgQJ6U1MVXOaj8PK2l7WJ3RER9xtqwdhxkhw/edit?usp=sharing"",""ตราด!M463"")"),27635)</f>
        <v>27635</v>
      </c>
      <c r="O568" s="169">
        <f t="shared" ca="1" si="122"/>
        <v>22.891815772034459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IFERROR(__xludf.DUMMYFUNCTION("IMPORTRANGE(""https://docs.google.com/spreadsheets/d/1SX6NBoVAgQJ6U1MVXOaj8PK2l7WJ3RER9xtqwdhxkhw/edit?usp=sharing"",""ตราด!M466"")"),27635)</f>
        <v>27635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IFERROR(__xludf.DUMMYFUNCTION("IMPORTRANGE(""https://docs.google.com/spreadsheets/d/1SX6NBoVAgQJ6U1MVXOaj8PK2l7WJ3RER9xtqwdhxkhw/edit?usp=sharing"",""ตราด!M467"")"),0)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IFERROR(__xludf.DUMMYFUNCTION("IMPORTRANGE(""https://docs.google.com/spreadsheets/d/1SX6NBoVAgQJ6U1MVXOaj8PK2l7WJ3RER9xtqwdhxkhw/edit?usp=sharing"",""ตราด!J468"")"),681)</f>
        <v>681</v>
      </c>
      <c r="K573" s="202">
        <f ca="1">IF(I573&gt;0,J573*100/I573,0)</f>
        <v>97.285714285714292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IFERROR(__xludf.DUMMYFUNCTION("IMPORTRANGE(""https://docs.google.com/spreadsheets/d/1SX6NBoVAgQJ6U1MVXOaj8PK2l7WJ3RER9xtqwdhxkhw/edit?usp=sharing"",""ตราด!J472"")"),681)</f>
        <v>681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IFERROR(__xludf.DUMMYFUNCTION("IMPORTRANGE(""https://docs.google.com/spreadsheets/d/1SX6NBoVAgQJ6U1MVXOaj8PK2l7WJ3RER9xtqwdhxkhw/edit?usp=sharing"",""ตราด!I491"")"),0)</f>
        <v>0</v>
      </c>
      <c r="J596" s="241">
        <f ca="1">IFERROR(__xludf.DUMMYFUNCTION("IMPORTRANGE(""https://docs.google.com/spreadsheets/d/1SX6NBoVAgQJ6U1MVXOaj8PK2l7WJ3RER9xtqwdhxkhw/edit?usp=sharing"",""ตราด!J491"")"),0)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7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IFERROR(__xludf.DUMMYFUNCTION("IMPORTRANGE(""https://docs.google.com/spreadsheets/d/1SX6NBoVAgQJ6U1MVXOaj8PK2l7WJ3RER9xtqwdhxkhw/edit?usp=sharing"",""ตราด!L494"")"),6150)</f>
        <v>6150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55.284552845528452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IFERROR(__xludf.DUMMYFUNCTION("IMPORTRANGE(""https://docs.google.com/spreadsheets/d/1SX6NBoVAgQJ6U1MVXOaj8PK2l7WJ3RER9xtqwdhxkhw/edit?usp=sharing"",""ตราด!L496"")"),6150)</f>
        <v>6150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55.284552845528452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IFERROR(__xludf.DUMMYFUNCTION("IMPORTRANGE(""https://docs.google.com/spreadsheets/d/1SX6NBoVAgQJ6U1MVXOaj8PK2l7WJ3RER9xtqwdhxkhw/edit?usp=sharing"",""ตราด!I523"")"),2500000)</f>
        <v>2500000</v>
      </c>
      <c r="J628" s="341">
        <f ca="1">IFERROR(__xludf.DUMMYFUNCTION("IMPORTRANGE(""https://docs.google.com/spreadsheets/d/1SX6NBoVAgQJ6U1MVXOaj8PK2l7WJ3RER9xtqwdhxkhw/edit?usp=sharing"",""ตราด!J523"")"),386184.21)</f>
        <v>386184.21</v>
      </c>
      <c r="K628" s="342">
        <f t="shared" ref="K628:K635" ca="1" si="129">IF(I628&gt;0,J628*100/I628,0)</f>
        <v>15.4473684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IFERROR(__xludf.DUMMYFUNCTION("IMPORTRANGE(""https://docs.google.com/spreadsheets/d/1SX6NBoVAgQJ6U1MVXOaj8PK2l7WJ3RER9xtqwdhxkhw/edit?usp=sharing"",""ตราด!I524"")"),117)</f>
        <v>117</v>
      </c>
      <c r="J629" s="341">
        <f ca="1">IFERROR(__xludf.DUMMYFUNCTION("IMPORTRANGE(""https://docs.google.com/spreadsheets/d/1SX6NBoVAgQJ6U1MVXOaj8PK2l7WJ3RER9xtqwdhxkhw/edit?usp=sharing"",""ตราด!J524"")"),20)</f>
        <v>20</v>
      </c>
      <c r="K629" s="342">
        <f t="shared" ca="1" si="129"/>
        <v>17.094017094017094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IFERROR(__xludf.DUMMYFUNCTION("IMPORTRANGE(""https://docs.google.com/spreadsheets/d/1SX6NBoVAgQJ6U1MVXOaj8PK2l7WJ3RER9xtqwdhxkhw/edit?usp=sharing"",""ตราด!I525"")"),1746021.08)</f>
        <v>1746021.08</v>
      </c>
      <c r="J630" s="341">
        <f ca="1">IFERROR(__xludf.DUMMYFUNCTION("IMPORTRANGE(""https://docs.google.com/spreadsheets/d/1SX6NBoVAgQJ6U1MVXOaj8PK2l7WJ3RER9xtqwdhxkhw/edit?usp=sharing"",""ตราด!J525"")"),311381.39)</f>
        <v>311381.39</v>
      </c>
      <c r="K630" s="342">
        <f t="shared" ca="1" si="129"/>
        <v>17.833770368912155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IFERROR(__xludf.DUMMYFUNCTION("IMPORTRANGE(""https://docs.google.com/spreadsheets/d/1SX6NBoVAgQJ6U1MVXOaj8PK2l7WJ3RER9xtqwdhxkhw/edit?usp=sharing"",""ตราด!I526"")"),45)</f>
        <v>45</v>
      </c>
      <c r="J631" s="341">
        <f ca="1">IFERROR(__xludf.DUMMYFUNCTION("IMPORTRANGE(""https://docs.google.com/spreadsheets/d/1SX6NBoVAgQJ6U1MVXOaj8PK2l7WJ3RER9xtqwdhxkhw/edit?usp=sharing"",""ตราด!J526"")"),30)</f>
        <v>30</v>
      </c>
      <c r="K631" s="342">
        <f t="shared" ca="1" si="129"/>
        <v>66.666666666666671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IFERROR(__xludf.DUMMYFUNCTION("IMPORTRANGE(""https://docs.google.com/spreadsheets/d/1SX6NBoVAgQJ6U1MVXOaj8PK2l7WJ3RER9xtqwdhxkhw/edit?usp=sharing"",""ตราด!I527"")"),0)</f>
        <v>0</v>
      </c>
      <c r="J632" s="341">
        <f ca="1">IFERROR(__xludf.DUMMYFUNCTION("IMPORTRANGE(""https://docs.google.com/spreadsheets/d/1SX6NBoVAgQJ6U1MVXOaj8PK2l7WJ3RER9xtqwdhxkhw/edit?usp=sharing"",""ตราด!J527"")"),0)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IFERROR(__xludf.DUMMYFUNCTION("IMPORTRANGE(""https://docs.google.com/spreadsheets/d/1SX6NBoVAgQJ6U1MVXOaj8PK2l7WJ3RER9xtqwdhxkhw/edit?usp=sharing"",""ตราด!I528"")"),0)</f>
        <v>0</v>
      </c>
      <c r="J633" s="341">
        <f ca="1">IFERROR(__xludf.DUMMYFUNCTION("IMPORTRANGE(""https://docs.google.com/spreadsheets/d/1SX6NBoVAgQJ6U1MVXOaj8PK2l7WJ3RER9xtqwdhxkhw/edit?usp=sharing"",""ตราด!J528"")"),0)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IFERROR(__xludf.DUMMYFUNCTION("IMPORTRANGE(""https://docs.google.com/spreadsheets/d/1SX6NBoVAgQJ6U1MVXOaj8PK2l7WJ3RER9xtqwdhxkhw/edit?usp=sharing"",""ตราด!I529"")"),2000000)</f>
        <v>2000000</v>
      </c>
      <c r="J634" s="341">
        <f ca="1">IFERROR(__xludf.DUMMYFUNCTION("IMPORTRANGE(""https://docs.google.com/spreadsheets/d/1SX6NBoVAgQJ6U1MVXOaj8PK2l7WJ3RER9xtqwdhxkhw/edit?usp=sharing"",""ตราด!J529"")"),360000)</f>
        <v>360000</v>
      </c>
      <c r="K634" s="342">
        <f t="shared" ca="1" si="129"/>
        <v>18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IFERROR(__xludf.DUMMYFUNCTION("IMPORTRANGE(""https://docs.google.com/spreadsheets/d/1SX6NBoVAgQJ6U1MVXOaj8PK2l7WJ3RER9xtqwdhxkhw/edit?usp=sharing"",""ตราด!I530"")"),117)</f>
        <v>117</v>
      </c>
      <c r="J635" s="504">
        <f ca="1">IFERROR(__xludf.DUMMYFUNCTION("IMPORTRANGE(""https://docs.google.com/spreadsheets/d/1SX6NBoVAgQJ6U1MVXOaj8PK2l7WJ3RER9xtqwdhxkhw/edit?usp=sharing"",""ตราด!J530"")"),16)</f>
        <v>16</v>
      </c>
      <c r="K635" s="486">
        <f t="shared" ca="1" si="129"/>
        <v>13.675213675213675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IFERROR(__xludf.DUMMYFUNCTION("IMPORTRANGE(""https://docs.google.com/spreadsheets/d/1SX6NBoVAgQJ6U1MVXOaj8PK2l7WJ3RER9xtqwdhxkhw/edit#gid=346597447"",""ตราด!J541"")"),0)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IFERROR(__xludf.DUMMYFUNCTION("IMPORTRANGE(""https://docs.google.com/spreadsheets/d/1SX6NBoVAgQJ6U1MVXOaj8PK2l7WJ3RER9xtqwdhxkhw/edit#gid=346597447"",""ตราด!J542"")"),0)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IFERROR(__xludf.DUMMYFUNCTION("IMPORTRANGE(""https://docs.google.com/spreadsheets/d/1SX6NBoVAgQJ6U1MVXOaj8PK2l7WJ3RER9xtqwdhxkhw/edit#gid=346597447"",""ตราด!I543"")"),0)</f>
        <v>0</v>
      </c>
      <c r="J648" s="536">
        <f ca="1">IFERROR(__xludf.DUMMYFUNCTION("IMPORTRANGE(""https://docs.google.com/spreadsheets/d/1SX6NBoVAgQJ6U1MVXOaj8PK2l7WJ3RER9xtqwdhxkhw/edit#gid=346597447"",""ตราด!J543"")"),0)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IFERROR(__xludf.DUMMYFUNCTION("IMPORTRANGE(""https://docs.google.com/spreadsheets/d/1SX6NBoVAgQJ6U1MVXOaj8PK2l7WJ3RER9xtqwdhxkhw/edit#gid=346597447"",""ตราด!L543"")"),0)</f>
        <v>0</v>
      </c>
      <c r="M648" s="521"/>
      <c r="N648" s="538">
        <f ca="1">IFERROR(__xludf.DUMMYFUNCTION("IMPORTRANGE(""https://docs.google.com/spreadsheets/d/1SX6NBoVAgQJ6U1MVXOaj8PK2l7WJ3RER9xtqwdhxkhw/edit#gid=346597447"",""ตราด!M543"")"),0)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IFERROR(__xludf.DUMMYFUNCTION("IMPORTRANGE(""https://docs.google.com/spreadsheets/d/1SX6NBoVAgQJ6U1MVXOaj8PK2l7WJ3RER9xtqwdhxkhw/edit#gid=346597447"",""ตราด!I544"")"),0)</f>
        <v>0</v>
      </c>
      <c r="J649" s="536">
        <f ca="1">IFERROR(__xludf.DUMMYFUNCTION("IMPORTRANGE(""https://docs.google.com/spreadsheets/d/1SX6NBoVAgQJ6U1MVXOaj8PK2l7WJ3RER9xtqwdhxkhw/edit#gid=346597447"",""ตราด!J544"")"),0)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IFERROR(__xludf.DUMMYFUNCTION("IMPORTRANGE(""https://docs.google.com/spreadsheets/d/1SX6NBoVAgQJ6U1MVXOaj8PK2l7WJ3RER9xtqwdhxkhw/edit#gid=346597447"",""ตราด!L544"")"),0)</f>
        <v>0</v>
      </c>
      <c r="M649" s="521"/>
      <c r="N649" s="538">
        <f ca="1">IFERROR(__xludf.DUMMYFUNCTION("IMPORTRANGE(""https://docs.google.com/spreadsheets/d/1SX6NBoVAgQJ6U1MVXOaj8PK2l7WJ3RER9xtqwdhxkhw/edit#gid=346597447"",""ตราด!M544"")"),0)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IFERROR(__xludf.DUMMYFUNCTION("IMPORTRANGE(""https://docs.google.com/spreadsheets/d/1SX6NBoVAgQJ6U1MVXOaj8PK2l7WJ3RER9xtqwdhxkhw/edit#gid=346597447"",""ตราด!I545"")"),0)</f>
        <v>0</v>
      </c>
      <c r="J650" s="536">
        <f ca="1">IFERROR(__xludf.DUMMYFUNCTION("IMPORTRANGE(""https://docs.google.com/spreadsheets/d/1SX6NBoVAgQJ6U1MVXOaj8PK2l7WJ3RER9xtqwdhxkhw/edit#gid=346597447"",""ตราด!J545"")"),0)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IFERROR(__xludf.DUMMYFUNCTION("IMPORTRANGE(""https://docs.google.com/spreadsheets/d/1SX6NBoVAgQJ6U1MVXOaj8PK2l7WJ3RER9xtqwdhxkhw/edit#gid=346597447"",""ตราด!L545"")"),0)</f>
        <v>0</v>
      </c>
      <c r="M650" s="521"/>
      <c r="N650" s="538">
        <f ca="1">IFERROR(__xludf.DUMMYFUNCTION("IMPORTRANGE(""https://docs.google.com/spreadsheets/d/1SX6NBoVAgQJ6U1MVXOaj8PK2l7WJ3RER9xtqwdhxkhw/edit#gid=346597447"",""ตราด!M545"")"),0)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IFERROR(__xludf.DUMMYFUNCTION("IMPORTRANGE(""https://docs.google.com/spreadsheets/d/1SX6NBoVAgQJ6U1MVXOaj8PK2l7WJ3RER9xtqwdhxkhw/edit#gid=346597447"",""ตราด!I546"")"),0)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IFERROR(__xludf.DUMMYFUNCTION("IMPORTRANGE(""https://docs.google.com/spreadsheets/d/1SX6NBoVAgQJ6U1MVXOaj8PK2l7WJ3RER9xtqwdhxkhw/edit#gid=346597447"",""ตราด!L546"")"),0)</f>
        <v>0</v>
      </c>
      <c r="M651" s="521"/>
      <c r="N651" s="538">
        <f ca="1">IFERROR(__xludf.DUMMYFUNCTION("IMPORTRANGE(""https://docs.google.com/spreadsheets/d/1SX6NBoVAgQJ6U1MVXOaj8PK2l7WJ3RER9xtqwdhxkhw/edit#gid=346597447"",""ตราด!M546"")"),0)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IFERROR(__xludf.DUMMYFUNCTION("IMPORTRANGE(""https://docs.google.com/spreadsheets/d/1SX6NBoVAgQJ6U1MVXOaj8PK2l7WJ3RER9xtqwdhxkhw/edit#gid=346597447"",""ตราด!J547"")"),0)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IFERROR(__xludf.DUMMYFUNCTION("IMPORTRANGE(""https://docs.google.com/spreadsheets/d/1SX6NBoVAgQJ6U1MVXOaj8PK2l7WJ3RER9xtqwdhxkhw/edit#gid=346597447"",""ตราด!J548"")"),0)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IFERROR(__xludf.DUMMYFUNCTION("IMPORTRANGE(""https://docs.google.com/spreadsheets/d/1SX6NBoVAgQJ6U1MVXOaj8PK2l7WJ3RER9xtqwdhxkhw/edit#gid=346597447"",""ตราด!J550"")"),0)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IFERROR(__xludf.DUMMYFUNCTION("IMPORTRANGE(""https://docs.google.com/spreadsheets/d/1SX6NBoVAgQJ6U1MVXOaj8PK2l7WJ3RER9xtqwdhxkhw/edit#gid=346597447"",""ตราด!J551"")"),0)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IFERROR(__xludf.DUMMYFUNCTION("IMPORTRANGE(""https://docs.google.com/spreadsheets/d/1SX6NBoVAgQJ6U1MVXOaj8PK2l7WJ3RER9xtqwdhxkhw/edit#gid=346597447"",""ตราด!J552"")"),0)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IFERROR(__xludf.DUMMYFUNCTION("IMPORTRANGE(""https://docs.google.com/spreadsheets/d/1SX6NBoVAgQJ6U1MVXOaj8PK2l7WJ3RER9xtqwdhxkhw/edit#gid=346597447"",""ตราด!J553"")"),0)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IFERROR(__xludf.DUMMYFUNCTION("IMPORTRANGE(""https://docs.google.com/spreadsheets/d/1SX6NBoVAgQJ6U1MVXOaj8PK2l7WJ3RER9xtqwdhxkhw/edit#gid=346597447"",""ตราด!J554"")"),0)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IFERROR(__xludf.DUMMYFUNCTION("IMPORTRANGE(""https://docs.google.com/spreadsheets/d/1SX6NBoVAgQJ6U1MVXOaj8PK2l7WJ3RER9xtqwdhxkhw/edit#gid=346597447"",""ตราด!J555"")"),0)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IFERROR(__xludf.DUMMYFUNCTION("IMPORTRANGE(""https://docs.google.com/spreadsheets/d/1SX6NBoVAgQJ6U1MVXOaj8PK2l7WJ3RER9xtqwdhxkhw/edit#gid=346597447"",""ตราด!J556"")"),0)</f>
        <v>0</v>
      </c>
      <c r="K661" s="537"/>
      <c r="L661" s="522">
        <f ca="1">IFERROR(__xludf.DUMMYFUNCTION("IMPORTRANGE(""https://docs.google.com/spreadsheets/d/1SX6NBoVAgQJ6U1MVXOaj8PK2l7WJ3RER9xtqwdhxkhw/edit#gid=346597447"",""ตราด!L556"")"),0)</f>
        <v>0</v>
      </c>
      <c r="M661" s="521"/>
      <c r="N661" s="538">
        <f ca="1">IFERROR(__xludf.DUMMYFUNCTION("IMPORTRANGE(""https://docs.google.com/spreadsheets/d/1SX6NBoVAgQJ6U1MVXOaj8PK2l7WJ3RER9xtqwdhxkhw/edit#gid=346597447"",""ตราด!M556"")"),0)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IFERROR(__xludf.DUMMYFUNCTION("IMPORTRANGE(""https://docs.google.com/spreadsheets/d/1SX6NBoVAgQJ6U1MVXOaj8PK2l7WJ3RER9xtqwdhxkhw/edit#gid=346597447"",""ตราด!J557"")"),0)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IFERROR(__xludf.DUMMYFUNCTION("IMPORTRANGE(""https://docs.google.com/spreadsheets/d/1SX6NBoVAgQJ6U1MVXOaj8PK2l7WJ3RER9xtqwdhxkhw/edit#gid=346597447"",""ตราด!I558"")"),0)</f>
        <v>0</v>
      </c>
      <c r="J663" s="536">
        <f ca="1">IFERROR(__xludf.DUMMYFUNCTION("IMPORTRANGE(""https://docs.google.com/spreadsheets/d/1SX6NBoVAgQJ6U1MVXOaj8PK2l7WJ3RER9xtqwdhxkhw/edit#gid=346597447"",""ตราด!J558"")"),0)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IFERROR(__xludf.DUMMYFUNCTION("IMPORTRANGE(""https://docs.google.com/spreadsheets/d/1SX6NBoVAgQJ6U1MVXOaj8PK2l7WJ3RER9xtqwdhxkhw/edit#gid=346597447"",""ตราด!I560"")"),0)</f>
        <v>0</v>
      </c>
      <c r="J665" s="536">
        <f ca="1">IFERROR(__xludf.DUMMYFUNCTION("IMPORTRANGE(""https://docs.google.com/spreadsheets/d/1SX6NBoVAgQJ6U1MVXOaj8PK2l7WJ3RER9xtqwdhxkhw/edit#gid=346597447"",""ตราด!J560"")"),0)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IFERROR(__xludf.DUMMYFUNCTION("IMPORTRANGE(""https://docs.google.com/spreadsheets/d/1SX6NBoVAgQJ6U1MVXOaj8PK2l7WJ3RER9xtqwdhxkhw/edit#gid=346597447"",""ตราด!L560"")"),0)</f>
        <v>0</v>
      </c>
      <c r="M665" s="521"/>
      <c r="N665" s="538">
        <f ca="1">IFERROR(__xludf.DUMMYFUNCTION("IMPORTRANGE(""https://docs.google.com/spreadsheets/d/1SX6NBoVAgQJ6U1MVXOaj8PK2l7WJ3RER9xtqwdhxkhw/edit#gid=346597447"",""ตราด!M560"")"),0)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IFERROR(__xludf.DUMMYFUNCTION("IMPORTRANGE(""https://docs.google.com/spreadsheets/d/1SX6NBoVAgQJ6U1MVXOaj8PK2l7WJ3RER9xtqwdhxkhw/edit#gid=346597447"",""ตราด!J561"")"),0)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IFERROR(__xludf.DUMMYFUNCTION("IMPORTRANGE(""https://docs.google.com/spreadsheets/d/1SX6NBoVAgQJ6U1MVXOaj8PK2l7WJ3RER9xtqwdhxkhw/edit#gid=346597447"",""ตราด!J562"")"),0)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IFERROR(__xludf.DUMMYFUNCTION("IMPORTRANGE(""https://docs.google.com/spreadsheets/d/1SX6NBoVAgQJ6U1MVXOaj8PK2l7WJ3RER9xtqwdhxkhw/edit#gid=346597447"",""ตราด!I563"")"),0)</f>
        <v>0</v>
      </c>
      <c r="J668" s="536">
        <f ca="1">IFERROR(__xludf.DUMMYFUNCTION("IMPORTRANGE(""https://docs.google.com/spreadsheets/d/1SX6NBoVAgQJ6U1MVXOaj8PK2l7WJ3RER9xtqwdhxkhw/edit#gid=346597447"",""ตราด!J563"")"),0)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IFERROR(__xludf.DUMMYFUNCTION("IMPORTRANGE(""https://docs.google.com/spreadsheets/d/1SX6NBoVAgQJ6U1MVXOaj8PK2l7WJ3RER9xtqwdhxkhw/edit#gid=346597447"",""ตราด!L563"")"),0)</f>
        <v>0</v>
      </c>
      <c r="M668" s="521"/>
      <c r="N668" s="538">
        <f ca="1">IFERROR(__xludf.DUMMYFUNCTION("IMPORTRANGE(""https://docs.google.com/spreadsheets/d/1SX6NBoVAgQJ6U1MVXOaj8PK2l7WJ3RER9xtqwdhxkhw/edit#gid=346597447"",""ตราด!M563"")"),0)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IFERROR(__xludf.DUMMYFUNCTION("IMPORTRANGE(""https://docs.google.com/spreadsheets/d/1SX6NBoVAgQJ6U1MVXOaj8PK2l7WJ3RER9xtqwdhxkhw/edit#gid=346597447"",""ตราด!J564"")"),0)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IFERROR(__xludf.DUMMYFUNCTION("IMPORTRANGE(""https://docs.google.com/spreadsheets/d/1SX6NBoVAgQJ6U1MVXOaj8PK2l7WJ3RER9xtqwdhxkhw/edit#gid=346597447"",""ตราด!J565"")"),0)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IFERROR(__xludf.DUMMYFUNCTION("IMPORTRANGE(""https://docs.google.com/spreadsheets/d/1SX6NBoVAgQJ6U1MVXOaj8PK2l7WJ3RER9xtqwdhxkhw/edit#gid=346597447"",""ตราด!I566"")"),0)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IFERROR(__xludf.DUMMYFUNCTION("IMPORTRANGE(""https://docs.google.com/spreadsheets/d/1SX6NBoVAgQJ6U1MVXOaj8PK2l7WJ3RER9xtqwdhxkhw/edit#gid=346597447"",""ตราด!L566"")"),0)</f>
        <v>0</v>
      </c>
      <c r="M671" s="521"/>
      <c r="N671" s="538">
        <f ca="1">IFERROR(__xludf.DUMMYFUNCTION("IMPORTRANGE(""https://docs.google.com/spreadsheets/d/1SX6NBoVAgQJ6U1MVXOaj8PK2l7WJ3RER9xtqwdhxkhw/edit#gid=346597447"",""ตราด!M566"")"),0)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IFERROR(__xludf.DUMMYFUNCTION("IMPORTRANGE(""https://docs.google.com/spreadsheets/d/1SX6NBoVAgQJ6U1MVXOaj8PK2l7WJ3RER9xtqwdhxkhw/edit#gid=346597447"",""ตราด!J567"")"),0)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IFERROR(__xludf.DUMMYFUNCTION("IMPORTRANGE(""https://docs.google.com/spreadsheets/d/1SX6NBoVAgQJ6U1MVXOaj8PK2l7WJ3RER9xtqwdhxkhw/edit#gid=346597447"",""ตราด!J568"")"),0)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IFERROR(__xludf.DUMMYFUNCTION("IMPORTRANGE(""https://docs.google.com/spreadsheets/d/1SX6NBoVAgQJ6U1MVXOaj8PK2l7WJ3RER9xtqwdhxkhw/edit#gid=346597447"",""ตราด!J569"")"),0)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IFERROR(__xludf.DUMMYFUNCTION("IMPORTRANGE(""https://docs.google.com/spreadsheets/d/1SX6NBoVAgQJ6U1MVXOaj8PK2l7WJ3RER9xtqwdhxkhw/edit#gid=346597447"",""ตราด!J570"")"),0)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IFERROR(__xludf.DUMMYFUNCTION("IMPORTRANGE(""https://docs.google.com/spreadsheets/d/1SX6NBoVAgQJ6U1MVXOaj8PK2l7WJ3RER9xtqwdhxkhw/edit#gid=346597447"",""ตราด!J571"")"),0)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IFERROR(__xludf.DUMMYFUNCTION("IMPORTRANGE(""https://docs.google.com/spreadsheets/d/1SX6NBoVAgQJ6U1MVXOaj8PK2l7WJ3RER9xtqwdhxkhw/edit#gid=346597447"",""ตราด!J572"")"),0)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3144690</v>
      </c>
      <c r="M8" s="23">
        <f t="shared" ca="1" si="0"/>
        <v>1827120.8599999999</v>
      </c>
      <c r="N8" s="23">
        <f t="shared" ca="1" si="0"/>
        <v>1725502.99</v>
      </c>
      <c r="O8" s="22">
        <f t="shared" ref="O8:O16" ca="1" si="1">IF(L8&gt;0,N8*100/L8,0)</f>
        <v>54.870368462392157</v>
      </c>
      <c r="P8" s="22">
        <f t="shared" ref="P8:P16" ca="1" si="2">IF(M8&gt;0,N8*100/M8,0)</f>
        <v>94.438360798967622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3144690</v>
      </c>
      <c r="M10" s="30">
        <f t="shared" ca="1" si="4"/>
        <v>1827120.8599999999</v>
      </c>
      <c r="N10" s="30">
        <f t="shared" ca="1" si="4"/>
        <v>1725502.99</v>
      </c>
      <c r="O10" s="29">
        <f t="shared" ca="1" si="1"/>
        <v>54.870368462392157</v>
      </c>
      <c r="P10" s="29">
        <f t="shared" ca="1" si="2"/>
        <v>94.438360798967622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3106890</v>
      </c>
      <c r="M12" s="38">
        <f t="shared" ca="1" si="6"/>
        <v>1789320.8599999999</v>
      </c>
      <c r="N12" s="38">
        <f t="shared" ca="1" si="6"/>
        <v>1687702.99</v>
      </c>
      <c r="O12" s="38">
        <f t="shared" ca="1" si="1"/>
        <v>54.321298468886894</v>
      </c>
      <c r="P12" s="38">
        <f t="shared" ca="1" si="2"/>
        <v>94.32086931574699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1288990</v>
      </c>
      <c r="M14" s="38">
        <f t="shared" si="8"/>
        <v>0</v>
      </c>
      <c r="N14" s="38">
        <f t="shared" ca="1" si="8"/>
        <v>447520</v>
      </c>
      <c r="O14" s="38">
        <f t="shared" ca="1" si="1"/>
        <v>34.718655691665568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2357880</v>
      </c>
      <c r="M18" s="23">
        <f t="shared" ca="1" si="11"/>
        <v>1827120.8599999999</v>
      </c>
      <c r="N18" s="23">
        <f t="shared" ca="1" si="11"/>
        <v>1277982.99</v>
      </c>
      <c r="O18" s="22">
        <f t="shared" ref="O18:O20" ca="1" si="12">IF(L18&gt;0,N18*100/L18,0)</f>
        <v>54.200510204081631</v>
      </c>
      <c r="P18" s="22">
        <f t="shared" ref="P18:P26" ca="1" si="13">IF(M18&gt;0,N18*100/M18,0)</f>
        <v>69.945180856837254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2357880</v>
      </c>
      <c r="M20" s="30">
        <f t="shared" ca="1" si="15"/>
        <v>1827120.8599999999</v>
      </c>
      <c r="N20" s="30">
        <f t="shared" ca="1" si="15"/>
        <v>1277982.99</v>
      </c>
      <c r="O20" s="29">
        <f t="shared" ca="1" si="12"/>
        <v>54.200510204081631</v>
      </c>
      <c r="P20" s="29">
        <f t="shared" ca="1" si="13"/>
        <v>69.945180856837254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2320080</v>
      </c>
      <c r="M22" s="41">
        <f t="shared" ca="1" si="18"/>
        <v>1789320.8599999999</v>
      </c>
      <c r="N22" s="38">
        <f t="shared" ca="1" si="18"/>
        <v>1240182.99</v>
      </c>
      <c r="O22" s="38">
        <f t="shared" ca="1" si="17"/>
        <v>53.454320109651391</v>
      </c>
      <c r="P22" s="38">
        <f t="shared" ca="1" si="13"/>
        <v>69.310262777576966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786810</v>
      </c>
      <c r="M28" s="23">
        <f t="shared" si="23"/>
        <v>0</v>
      </c>
      <c r="N28" s="23">
        <f t="shared" ca="1" si="23"/>
        <v>447520</v>
      </c>
      <c r="O28" s="22">
        <f t="shared" ref="O28:O30" ca="1" si="24">IF(L28&gt;0,N28*100/L28,0)</f>
        <v>56.877772270306679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786810</v>
      </c>
      <c r="M30" s="30">
        <f t="shared" si="27"/>
        <v>0</v>
      </c>
      <c r="N30" s="30">
        <f t="shared" ca="1" si="27"/>
        <v>447520</v>
      </c>
      <c r="O30" s="29">
        <f t="shared" ca="1" si="24"/>
        <v>56.877772270306679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786810</v>
      </c>
      <c r="M32" s="38">
        <f t="shared" si="30"/>
        <v>0</v>
      </c>
      <c r="N32" s="38">
        <f t="shared" ca="1" si="30"/>
        <v>447520</v>
      </c>
      <c r="O32" s="38">
        <f t="shared" ca="1" si="29"/>
        <v>56.877772270306679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786810</v>
      </c>
      <c r="M34" s="38">
        <f t="shared" si="32"/>
        <v>0</v>
      </c>
      <c r="N34" s="38">
        <f t="shared" ca="1" si="32"/>
        <v>447520</v>
      </c>
      <c r="O34" s="38">
        <f t="shared" ca="1" si="29"/>
        <v>56.877772270306679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2357880</v>
      </c>
      <c r="M37" s="54">
        <f t="shared" ca="1" si="33"/>
        <v>1827120.8599999999</v>
      </c>
      <c r="N37" s="54">
        <f t="shared" ca="1" si="33"/>
        <v>1277982.99</v>
      </c>
      <c r="O37" s="55">
        <f t="shared" ca="1" si="29"/>
        <v>54.200510204081631</v>
      </c>
      <c r="P37" s="55">
        <f t="shared" ca="1" si="25"/>
        <v>69.945180856837254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530600</v>
      </c>
      <c r="N41" s="78">
        <f t="shared" ca="1" si="34"/>
        <v>404171.74</v>
      </c>
      <c r="O41" s="77">
        <f t="shared" ref="O41:O43" ca="1" si="35">IF(L41&gt;0,N41*100/L41,0)</f>
        <v>62.749843192050925</v>
      </c>
      <c r="P41" s="77">
        <f t="shared" ref="P41:P43" ca="1" si="36">IF(M41&gt;0,N41*100/M41,0)</f>
        <v>76.172585751978886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530600</v>
      </c>
      <c r="N43" s="78">
        <f t="shared" ca="1" si="38"/>
        <v>404171.74</v>
      </c>
      <c r="O43" s="77">
        <f t="shared" ca="1" si="35"/>
        <v>62.749843192050925</v>
      </c>
      <c r="P43" s="77">
        <f t="shared" ca="1" si="36"/>
        <v>76.172585751978886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IFERROR(__xludf.DUMMYFUNCTION("IMPORTRANGE(""https://docs.google.com/spreadsheets/d/1Yj_ptqi66GCucihVvJfMjLAmec39IyEx_6qawtMGysU/edit?usp=sharing"",""สบก!Q65"")"),530600)</f>
        <v>530600</v>
      </c>
      <c r="N45" s="49">
        <f ca="1">IFERROR(__xludf.DUMMYFUNCTION("IMPORTRANGE(""https://docs.google.com/spreadsheets/d/1Yj_ptqi66GCucihVvJfMjLAmec39IyEx_6qawtMGysU/edit?usp=sharing"",""สบก!R65"")"),404171.74)</f>
        <v>404171.74</v>
      </c>
      <c r="O45" s="38">
        <f ca="1">IF(L45&gt;0,N45*100/L45,0)</f>
        <v>62.749843192050925</v>
      </c>
      <c r="P45" s="38">
        <f ca="1">IF(M45&gt;0,N45*100/M45,0)</f>
        <v>76.172585751978886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276355.86</v>
      </c>
      <c r="N53" s="121">
        <f t="shared" ca="1" si="39"/>
        <v>186173</v>
      </c>
      <c r="O53" s="120">
        <f t="shared" ref="O53:O55" ca="1" si="40">IF(L53&gt;0,N53*100/L53,0)</f>
        <v>54.821260306242635</v>
      </c>
      <c r="P53" s="120">
        <f t="shared" ref="P53:P55" ca="1" si="41">IF(M53&gt;0,N53*100/M53,0)</f>
        <v>67.367125849981974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276355.86</v>
      </c>
      <c r="N55" s="121">
        <f t="shared" ca="1" si="43"/>
        <v>186173</v>
      </c>
      <c r="O55" s="120">
        <f t="shared" ca="1" si="40"/>
        <v>54.821260306242635</v>
      </c>
      <c r="P55" s="120">
        <f t="shared" ca="1" si="41"/>
        <v>67.367125849981974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IFERROR(__xludf.DUMMYFUNCTION("IMPORTRANGE(""https://docs.google.com/spreadsheets/d/1Yj_ptqi66GCucihVvJfMjLAmec39IyEx_6qawtMGysU/edit?usp=sharing"",""สบก!Z65"")"),276355.86)</f>
        <v>276355.86</v>
      </c>
      <c r="N57" s="49">
        <f ca="1">IFERROR(__xludf.DUMMYFUNCTION("IMPORTRANGE(""https://docs.google.com/spreadsheets/d/1Yj_ptqi66GCucihVvJfMjLAmec39IyEx_6qawtMGysU/edit?usp=sharing"",""สบก!AA65"")"),186173)</f>
        <v>186173</v>
      </c>
      <c r="O57" s="38">
        <f ca="1">IF(L57&gt;0,N57*100/L57,0)</f>
        <v>54.821260306242635</v>
      </c>
      <c r="P57" s="38">
        <f ca="1">IF(M57&gt;0,N57*100/M57,0)</f>
        <v>67.367125849981974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IFERROR(__xludf.DUMMYFUNCTION("IMPORTRANGE(""https://docs.google.com/spreadsheets/d/1Yj_ptqi66GCucihVvJfMjLAmec39IyEx_6qawtMGysU/edit?usp=sharing"",""สบก!AI65"")"),0)</f>
        <v>0</v>
      </c>
      <c r="N70" s="169">
        <f ca="1">IFERROR(__xludf.DUMMYFUNCTION("IMPORTRANGE(""https://docs.google.com/spreadsheets/d/1Yj_ptqi66GCucihVvJfMjLAmec39IyEx_6qawtMGysU/edit?usp=sharing"",""สบก!AJ65"")"),0)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IFERROR(__xludf.DUMMYFUNCTION("IMPORTRANGE(""https://docs.google.com/spreadsheets/d/1SX6NBoVAgQJ6U1MVXOaj8PK2l7WJ3RER9xtqwdhxkhw/edit?usp=sharing"",""นครนายก!J50"")"),0)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273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IFERROR(__xludf.DUMMYFUNCTION("IMPORTRANGE(""https://docs.google.com/spreadsheets/d/1SX6NBoVAgQJ6U1MVXOaj8PK2l7WJ3RER9xtqwdhxkhw/edit?usp=sharing"",""นครนายก!J65"")"),0)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IFERROR(__xludf.DUMMYFUNCTION("IMPORTRANGE(""https://docs.google.com/spreadsheets/d/1SX6NBoVAgQJ6U1MVXOaj8PK2l7WJ3RER9xtqwdhxkhw/edit?usp=sharing"",""นครนายก!I68"")"),20)</f>
        <v>20</v>
      </c>
      <c r="J138" s="267">
        <f ca="1">IFERROR(__xludf.DUMMYFUNCTION("IMPORTRANGE(""https://docs.google.com/spreadsheets/d/1SX6NBoVAgQJ6U1MVXOaj8PK2l7WJ3RER9xtqwdhxkhw/edit?usp=sharing"",""นครนายก!J68"")"),20)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569800</v>
      </c>
      <c r="M140" s="152">
        <f t="shared" ca="1" si="64"/>
        <v>429125</v>
      </c>
      <c r="N140" s="152">
        <f t="shared" ca="1" si="64"/>
        <v>240160.25</v>
      </c>
      <c r="O140" s="151">
        <f t="shared" ref="O140:O142" ca="1" si="65">IF(L140&gt;0,N140*100/L140,0)</f>
        <v>42.14816602316602</v>
      </c>
      <c r="P140" s="151">
        <f t="shared" ref="P140:P142" ca="1" si="66">IF(M140&gt;0,N140*100/M140,0)</f>
        <v>55.965103408097875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569800</v>
      </c>
      <c r="M142" s="157">
        <f t="shared" ca="1" si="68"/>
        <v>429125</v>
      </c>
      <c r="N142" s="157">
        <f t="shared" ca="1" si="68"/>
        <v>240160.25</v>
      </c>
      <c r="O142" s="156">
        <f t="shared" ca="1" si="65"/>
        <v>42.14816602316602</v>
      </c>
      <c r="P142" s="156">
        <f t="shared" ca="1" si="66"/>
        <v>55.965103408097875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569800</v>
      </c>
      <c r="M144" s="168">
        <f ca="1">IFERROR(__xludf.DUMMYFUNCTION("IMPORTRANGE(""https://docs.google.com/spreadsheets/d/1Yj_ptqi66GCucihVvJfMjLAmec39IyEx_6qawtMGysU/edit?usp=sharing"",""สบก!BJ65"")"),429125)</f>
        <v>429125</v>
      </c>
      <c r="N144" s="169">
        <f ca="1">IFERROR(__xludf.DUMMYFUNCTION("IMPORTRANGE(""https://docs.google.com/spreadsheets/d/1Yj_ptqi66GCucihVvJfMjLAmec39IyEx_6qawtMGysU/edit?usp=sharing"",""สบก!BK65"")"),240160.25)</f>
        <v>240160.25</v>
      </c>
      <c r="O144" s="169">
        <f ca="1">IF(L144&gt;0,N144*100/L144,0)</f>
        <v>42.14816602316602</v>
      </c>
      <c r="P144" s="169">
        <f ca="1">IF(M144&gt;0,N144*100/M144,0)</f>
        <v>55.965103408097875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IFERROR(__xludf.DUMMYFUNCTION("IMPORTRANGE(""https://docs.google.com/spreadsheets/d/1Yj_ptqi66GCucihVvJfMjLAmec39IyEx_6qawtMGysU/edit?usp=sharing"",""สบก!BG65"")"),264800)</f>
        <v>264800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IFERROR(__xludf.DUMMYFUNCTION("IMPORTRANGE(""https://docs.google.com/spreadsheets/d/1SX6NBoVAgQJ6U1MVXOaj8PK2l7WJ3RER9xtqwdhxkhw/edit?usp=sharing"",""นครนายก!I74"")"),4)</f>
        <v>4</v>
      </c>
      <c r="J149" s="275">
        <f ca="1">IFERROR(__xludf.DUMMYFUNCTION("IMPORTRANGE(""https://docs.google.com/spreadsheets/d/1SX6NBoVAgQJ6U1MVXOaj8PK2l7WJ3RER9xtqwdhxkhw/edit?usp=sharing"",""นครนายก!J74"")"),2)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IFERROR(__xludf.DUMMYFUNCTION("IMPORTRANGE(""https://docs.google.com/spreadsheets/d/1SX6NBoVAgQJ6U1MVXOaj8PK2l7WJ3RER9xtqwdhxkhw/edit?usp=sharing"",""นครนายก!J84"")"),134)</f>
        <v>134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IFERROR(__xludf.DUMMYFUNCTION("IMPORTRANGE(""https://docs.google.com/spreadsheets/d/1SX6NBoVAgQJ6U1MVXOaj8PK2l7WJ3RER9xtqwdhxkhw/edit?usp=sharing"",""นครนายก!J85"")"),134)</f>
        <v>134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IFERROR(__xludf.DUMMYFUNCTION("IMPORTRANGE(""https://docs.google.com/spreadsheets/d/1SX6NBoVAgQJ6U1MVXOaj8PK2l7WJ3RER9xtqwdhxkhw/edit?usp=sharing"",""นครนายก!I89"")"),3)</f>
        <v>3</v>
      </c>
      <c r="J164" s="284">
        <f ca="1">IFERROR(__xludf.DUMMYFUNCTION("IMPORTRANGE(""https://docs.google.com/spreadsheets/d/1SX6NBoVAgQJ6U1MVXOaj8PK2l7WJ3RER9xtqwdhxkhw/edit?usp=sharing"",""นครนายก!J89"")"),3)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IFERROR(__xludf.DUMMYFUNCTION("IMPORTRANGE(""https://docs.google.com/spreadsheets/d/1SX6NBoVAgQJ6U1MVXOaj8PK2l7WJ3RER9xtqwdhxkhw/edit?usp=sharing"",""นครนายก!I101"")"),0)</f>
        <v>0</v>
      </c>
      <c r="J176" s="284">
        <f ca="1">IFERROR(__xludf.DUMMYFUNCTION("IMPORTRANGE(""https://docs.google.com/spreadsheets/d/1SX6NBoVAgQJ6U1MVXOaj8PK2l7WJ3RER9xtqwdhxkhw/edit?usp=sharing"",""นครนายก!J101"")"),0)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IFERROR(__xludf.DUMMYFUNCTION("IMPORTRANGE(""https://docs.google.com/spreadsheets/d/1SX6NBoVAgQJ6U1MVXOaj8PK2l7WJ3RER9xtqwdhxkhw/edit?usp=sharing"",""นครนายก!J113"")"),0)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IFERROR(__xludf.DUMMYFUNCTION("IMPORTRANGE(""https://docs.google.com/spreadsheets/d/1SX6NBoVAgQJ6U1MVXOaj8PK2l7WJ3RER9xtqwdhxkhw/edit?usp=sharing"",""นครนายก!I114"")"),30000)</f>
        <v>30000</v>
      </c>
      <c r="J189" s="284">
        <f ca="1">IFERROR(__xludf.DUMMYFUNCTION("IMPORTRANGE(""https://docs.google.com/spreadsheets/d/1SX6NBoVAgQJ6U1MVXOaj8PK2l7WJ3RER9xtqwdhxkhw/edit?usp=sharing"",""นครนายก!J114"")"),0)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IFERROR(__xludf.DUMMYFUNCTION("IMPORTRANGE(""https://docs.google.com/spreadsheets/d/1SX6NBoVAgQJ6U1MVXOaj8PK2l7WJ3RER9xtqwdhxkhw/edit?usp=sharing"",""นครนายก!J128"")"),0)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IFERROR(__xludf.DUMMYFUNCTION("IMPORTRANGE(""https://docs.google.com/spreadsheets/d/1SX6NBoVAgQJ6U1MVXOaj8PK2l7WJ3RER9xtqwdhxkhw/edit?usp=sharing"",""นครนายก!I129"")"),20)</f>
        <v>20</v>
      </c>
      <c r="J204" s="284">
        <f ca="1">IFERROR(__xludf.DUMMYFUNCTION("IMPORTRANGE(""https://docs.google.com/spreadsheets/d/1SX6NBoVAgQJ6U1MVXOaj8PK2l7WJ3RER9xtqwdhxkhw/edit?usp=sharing"",""นครนายก!J129"")"),20)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IFERROR(__xludf.DUMMYFUNCTION("IMPORTRANGE(""https://docs.google.com/spreadsheets/d/1SX6NBoVAgQJ6U1MVXOaj8PK2l7WJ3RER9xtqwdhxkhw/edit?usp=sharing"",""นครนายก!J143"")"),0)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IFERROR(__xludf.DUMMYFUNCTION("IMPORTRANGE(""https://docs.google.com/spreadsheets/d/1SX6NBoVAgQJ6U1MVXOaj8PK2l7WJ3RER9xtqwdhxkhw/edit?usp=sharing"",""นครนายก!I144"")"),0)</f>
        <v>0</v>
      </c>
      <c r="J219" s="267">
        <f ca="1">IFERROR(__xludf.DUMMYFUNCTION("IMPORTRANGE(""https://docs.google.com/spreadsheets/d/1SX6NBoVAgQJ6U1MVXOaj8PK2l7WJ3RER9xtqwdhxkhw/edit?usp=sharing"",""นครนายก!J144"")"),0)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IFERROR(__xludf.DUMMYFUNCTION("IMPORTRANGE(""https://docs.google.com/spreadsheets/d/1SX6NBoVAgQJ6U1MVXOaj8PK2l7WJ3RER9xtqwdhxkhw/edit?usp=sharing"",""นครนายก!I149"")"),0)</f>
        <v>0</v>
      </c>
      <c r="J229" s="267">
        <f ca="1">IFERROR(__xludf.DUMMYFUNCTION("IMPORTRANGE(""https://docs.google.com/spreadsheets/d/1SX6NBoVAgQJ6U1MVXOaj8PK2l7WJ3RER9xtqwdhxkhw/edit?usp=sharing"",""นครนายก!J149"")"),0)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IFERROR(__xludf.DUMMYFUNCTION("IMPORTRANGE(""https://docs.google.com/spreadsheets/d/1SX6NBoVAgQJ6U1MVXOaj8PK2l7WJ3RER9xtqwdhxkhw/edit?usp=sharing"",""นครนายก!I158"")"),0)</f>
        <v>0</v>
      </c>
      <c r="J238" s="267">
        <f ca="1">IFERROR(__xludf.DUMMYFUNCTION("IMPORTRANGE(""https://docs.google.com/spreadsheets/d/1SX6NBoVAgQJ6U1MVXOaj8PK2l7WJ3RER9xtqwdhxkhw/edit?usp=sharing"",""นครนายก!J158"")"),0)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IFERROR(__xludf.DUMMYFUNCTION("IMPORTRANGE(""https://docs.google.com/spreadsheets/d/1SX6NBoVAgQJ6U1MVXOaj8PK2l7WJ3RER9xtqwdhxkhw/edit?usp=sharing"",""นครนายก!J166"")"),0)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IFERROR(__xludf.DUMMYFUNCTION("IMPORTRANGE(""https://docs.google.com/spreadsheets/d/1SX6NBoVAgQJ6U1MVXOaj8PK2l7WJ3RER9xtqwdhxkhw/edit?usp=sharing"",""นครนายก!I169"")"),0)</f>
        <v>0</v>
      </c>
      <c r="J249" s="316">
        <f ca="1">IFERROR(__xludf.DUMMYFUNCTION("IMPORTRANGE(""https://docs.google.com/spreadsheets/d/1SX6NBoVAgQJ6U1MVXOaj8PK2l7WJ3RER9xtqwdhxkhw/edit?usp=sharing"",""นครนายก!J169"")"),0)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IFERROR(__xludf.DUMMYFUNCTION("IMPORTRANGE(""https://docs.google.com/spreadsheets/d/1SX6NBoVAgQJ6U1MVXOaj8PK2l7WJ3RER9xtqwdhxkhw/edit?usp=sharing"",""นครนายก!J184"")"),0)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IFERROR(__xludf.DUMMYFUNCTION("IMPORTRANGE(""https://docs.google.com/spreadsheets/d/1SX6NBoVAgQJ6U1MVXOaj8PK2l7WJ3RER9xtqwdhxkhw/edit?usp=sharing"",""นครนายก!I185"")"),15)</f>
        <v>15</v>
      </c>
      <c r="J270" s="316">
        <f ca="1">IFERROR(__xludf.DUMMYFUNCTION("IMPORTRANGE(""https://docs.google.com/spreadsheets/d/1SX6NBoVAgQJ6U1MVXOaj8PK2l7WJ3RER9xtqwdhxkhw/edit?usp=sharing"",""นครนายก!J185"")"),15)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32235</v>
      </c>
      <c r="O271" s="151">
        <f t="shared" ref="O271:O273" ca="1" si="84">IF(L271&gt;0,N271*100/L271,0)</f>
        <v>58.396739130434781</v>
      </c>
      <c r="P271" s="151">
        <f t="shared" ref="P271:P273" ca="1" si="85">IF(M271&gt;0,N271*100/M271,0)</f>
        <v>99.95348837209302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32235</v>
      </c>
      <c r="O273" s="156">
        <f t="shared" ca="1" si="84"/>
        <v>58.396739130434781</v>
      </c>
      <c r="P273" s="156">
        <f t="shared" ca="1" si="85"/>
        <v>99.95348837209302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IFERROR(__xludf.DUMMYFUNCTION("IMPORTRANGE(""https://docs.google.com/spreadsheets/d/1Yj_ptqi66GCucihVvJfMjLAmec39IyEx_6qawtMGysU/edit?usp=sharing"",""สบก!CK65"")"),32250)</f>
        <v>32250</v>
      </c>
      <c r="N275" s="169">
        <f ca="1">IFERROR(__xludf.DUMMYFUNCTION("IMPORTRANGE(""https://docs.google.com/spreadsheets/d/1Yj_ptqi66GCucihVvJfMjLAmec39IyEx_6qawtMGysU/edit?usp=sharing"",""สบก!CL65"")"),32235)</f>
        <v>32235</v>
      </c>
      <c r="O275" s="169">
        <f ca="1">IF(L275&gt;0,N275*100/L275,0)</f>
        <v>58.396739130434781</v>
      </c>
      <c r="P275" s="169">
        <f ca="1">IF(M275&gt;0,N275*100/M275,0)</f>
        <v>99.95348837209302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IFERROR(__xludf.DUMMYFUNCTION("IMPORTRANGE(""https://docs.google.com/spreadsheets/d/1SX6NBoVAgQJ6U1MVXOaj8PK2l7WJ3RER9xtqwdhxkhw/edit?usp=sharing"",""นครนายก!I199"")"),0)</f>
        <v>0</v>
      </c>
      <c r="J289" s="316">
        <f ca="1">IFERROR(__xludf.DUMMYFUNCTION("IMPORTRANGE(""https://docs.google.com/spreadsheets/d/1SX6NBoVAgQJ6U1MVXOaj8PK2l7WJ3RER9xtqwdhxkhw/edit?usp=sharing"",""นครนายก!J199"")"),0)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IFERROR(__xludf.DUMMYFUNCTION("IMPORTRANGE(""https://docs.google.com/spreadsheets/d/1SX6NBoVAgQJ6U1MVXOaj8PK2l7WJ3RER9xtqwdhxkhw/edit?usp=sharing"",""นครนายก!J213"")"),0)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IFERROR(__xludf.DUMMYFUNCTION("IMPORTRANGE(""https://docs.google.com/spreadsheets/d/1SX6NBoVAgQJ6U1MVXOaj8PK2l7WJ3RER9xtqwdhxkhw/edit?usp=sharing"",""นครนายก!I214"")"),0)</f>
        <v>0</v>
      </c>
      <c r="J309" s="333">
        <f ca="1">IFERROR(__xludf.DUMMYFUNCTION("IMPORTRANGE(""https://docs.google.com/spreadsheets/d/1SX6NBoVAgQJ6U1MVXOaj8PK2l7WJ3RER9xtqwdhxkhw/edit?usp=sharing"",""นครนายก!J214"")"),0)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IFERROR(__xludf.DUMMYFUNCTION("IMPORTRANGE(""https://docs.google.com/spreadsheets/d/1SX6NBoVAgQJ6U1MVXOaj8PK2l7WJ3RER9xtqwdhxkhw/edit?usp=sharing"",""นครนายก!J226"")"),0)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IFERROR(__xludf.DUMMYFUNCTION("IMPORTRANGE(""https://docs.google.com/spreadsheets/d/1SX6NBoVAgQJ6U1MVXOaj8PK2l7WJ3RER9xtqwdhxkhw/edit?usp=sharing"",""นครนายก!I228"")"),0)</f>
        <v>0</v>
      </c>
      <c r="J328" s="339">
        <f ca="1">IFERROR(__xludf.DUMMYFUNCTION("IMPORTRANGE(""https://docs.google.com/spreadsheets/d/1SX6NBoVAgQJ6U1MVXOaj8PK2l7WJ3RER9xtqwdhxkhw/edit?usp=sharing"",""นครนายก!J228"")"),0)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749180</v>
      </c>
      <c r="M329" s="152">
        <f t="shared" ca="1" si="98"/>
        <v>558790</v>
      </c>
      <c r="N329" s="152">
        <f t="shared" ca="1" si="98"/>
        <v>415243</v>
      </c>
      <c r="O329" s="151">
        <f t="shared" ref="O329:O331" ca="1" si="99">IF(L329&gt;0,N329*100/L329,0)</f>
        <v>55.426332790517634</v>
      </c>
      <c r="P329" s="151">
        <f t="shared" ref="P329:P331" ca="1" si="100">IF(M329&gt;0,N329*100/M329,0)</f>
        <v>74.311100771309441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749180</v>
      </c>
      <c r="M331" s="157">
        <f t="shared" ca="1" si="102"/>
        <v>558790</v>
      </c>
      <c r="N331" s="157">
        <f t="shared" ca="1" si="102"/>
        <v>415243</v>
      </c>
      <c r="O331" s="156">
        <f t="shared" ca="1" si="99"/>
        <v>55.426332790517634</v>
      </c>
      <c r="P331" s="156">
        <f t="shared" ca="1" si="100"/>
        <v>74.311100771309441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711380</v>
      </c>
      <c r="M333" s="168">
        <f ca="1">IFERROR(__xludf.DUMMYFUNCTION("IMPORTRANGE(""https://docs.google.com/spreadsheets/d/1Yj_ptqi66GCucihVvJfMjLAmec39IyEx_6qawtMGysU/edit?usp=sharing"",""สบก!DL65"")"),520990)</f>
        <v>520990</v>
      </c>
      <c r="N333" s="169">
        <f ca="1">IFERROR(__xludf.DUMMYFUNCTION("IMPORTRANGE(""https://docs.google.com/spreadsheets/d/1Yj_ptqi66GCucihVvJfMjLAmec39IyEx_6qawtMGysU/edit?usp=sharing"",""สบก!DM65"")"),377443)</f>
        <v>377443</v>
      </c>
      <c r="O333" s="169">
        <f ca="1">IF(L333&gt;0,N333*100/L333,0)</f>
        <v>53.057859371924991</v>
      </c>
      <c r="P333" s="169">
        <f ca="1">IF(M333&gt;0,N333*100/M333,0)</f>
        <v>72.447263863030003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IFERROR(__xludf.DUMMYFUNCTION("IMPORTRANGE(""https://docs.google.com/spreadsheets/d/1SX6NBoVAgQJ6U1MVXOaj8PK2l7WJ3RER9xtqwdhxkhw/edit?usp=sharing"",""นครนายก!L242"")"),786810)</f>
        <v>786810</v>
      </c>
      <c r="M347" s="358"/>
      <c r="N347" s="358">
        <f ca="1">IFERROR(__xludf.DUMMYFUNCTION("IMPORTRANGE(""https://docs.google.com/spreadsheets/d/1SX6NBoVAgQJ6U1MVXOaj8PK2l7WJ3RER9xtqwdhxkhw/edit?usp=sharing"",""นครนายก!M242"")"),447520)</f>
        <v>447520</v>
      </c>
      <c r="O347" s="358">
        <f ca="1">+IF(L347&gt;0,N347*100/L347,0)</f>
        <v>56.877772270306679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IFERROR(__xludf.DUMMYFUNCTION("IMPORTRANGE(""https://docs.google.com/spreadsheets/d/1SX6NBoVAgQJ6U1MVXOaj8PK2l7WJ3RER9xtqwdhxkhw/edit?usp=sharing"",""นครนายก!M244"")"),43200)</f>
        <v>43200</v>
      </c>
      <c r="O349" s="373">
        <f ca="1">+IF(L349&gt;0,N349*100/L349,0)</f>
        <v>54.738976178408514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IFERROR(__xludf.DUMMYFUNCTION("IMPORTRANGE(""https://docs.google.com/spreadsheets/d/1SX6NBoVAgQJ6U1MVXOaj8PK2l7WJ3RER9xtqwdhxkhw/edit?usp=sharing"",""นครนายก!L247"")"),78920)</f>
        <v>78920</v>
      </c>
      <c r="M352" s="165"/>
      <c r="N352" s="164">
        <f ca="1">IFERROR(__xludf.DUMMYFUNCTION("IMPORTRANGE(""https://docs.google.com/spreadsheets/d/1SX6NBoVAgQJ6U1MVXOaj8PK2l7WJ3RER9xtqwdhxkhw/edit?usp=sharing"",""นครนายก!M247"")"),43200)</f>
        <v>43200</v>
      </c>
      <c r="O352" s="165">
        <f t="shared" ca="1" si="105"/>
        <v>54.738976178408514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IFERROR(__xludf.DUMMYFUNCTION("IMPORTRANGE(""https://docs.google.com/spreadsheets/d/1SX6NBoVAgQJ6U1MVXOaj8PK2l7WJ3RER9xtqwdhxkhw/edit?usp=sharing"",""นครนายก!L249"")"),78920)</f>
        <v>78920</v>
      </c>
      <c r="M354" s="169"/>
      <c r="N354" s="168">
        <f ca="1">IFERROR(__xludf.DUMMYFUNCTION("IMPORTRANGE(""https://docs.google.com/spreadsheets/d/1SX6NBoVAgQJ6U1MVXOaj8PK2l7WJ3RER9xtqwdhxkhw/edit?usp=sharing"",""นครนายก!M249"")"),43200)</f>
        <v>43200</v>
      </c>
      <c r="O354" s="169">
        <f t="shared" ca="1" si="105"/>
        <v>54.738976178408514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IFERROR(__xludf.DUMMYFUNCTION("IMPORTRANGE(""https://docs.google.com/spreadsheets/d/1SX6NBoVAgQJ6U1MVXOaj8PK2l7WJ3RER9xtqwdhxkhw/edit?usp=sharing"",""นครนายก!M250"")"),43200)</f>
        <v>43200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IFERROR(__xludf.DUMMYFUNCTION("IMPORTRANGE(""https://docs.google.com/spreadsheets/d/1SX6NBoVAgQJ6U1MVXOaj8PK2l7WJ3RER9xtqwdhxkhw/edit?usp=sharing"",""นครนายก!J274"")"),0)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IFERROR(__xludf.DUMMYFUNCTION("IMPORTRANGE(""https://docs.google.com/spreadsheets/d/1SX6NBoVAgQJ6U1MVXOaj8PK2l7WJ3RER9xtqwdhxkhw/edit?usp=sharing"",""นครนายก!M275"")"),43980)</f>
        <v>43980</v>
      </c>
      <c r="O380" s="373">
        <f ca="1">+IF(L380&gt;0,N380*100/L380,0)</f>
        <v>50.142515106601302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IFERROR(__xludf.DUMMYFUNCTION("IMPORTRANGE(""https://docs.google.com/spreadsheets/d/1SX6NBoVAgQJ6U1MVXOaj8PK2l7WJ3RER9xtqwdhxkhw/edit?usp=sharing"",""นครนายก!M278"")"),43980)</f>
        <v>43980</v>
      </c>
      <c r="O383" s="165">
        <f t="shared" ca="1" si="109"/>
        <v>50.142515106601302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IFERROR(__xludf.DUMMYFUNCTION("IMPORTRANGE(""https://docs.google.com/spreadsheets/d/1SX6NBoVAgQJ6U1MVXOaj8PK2l7WJ3RER9xtqwdhxkhw/edit?usp=sharing"",""นครนายก!M280"")"),43980)</f>
        <v>43980</v>
      </c>
      <c r="O385" s="169">
        <f t="shared" ca="1" si="109"/>
        <v>50.142515106601302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IFERROR(__xludf.DUMMYFUNCTION("IMPORTRANGE(""https://docs.google.com/spreadsheets/d/1SX6NBoVAgQJ6U1MVXOaj8PK2l7WJ3RER9xtqwdhxkhw/edit?usp=sharing"",""นครนายก!M281"")"),6450)</f>
        <v>6450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IFERROR(__xludf.DUMMYFUNCTION("IMPORTRANGE(""https://docs.google.com/spreadsheets/d/1SX6NBoVAgQJ6U1MVXOaj8PK2l7WJ3RER9xtqwdhxkhw/edit?usp=sharing"",""นครนายก!M284"")"),6280)</f>
        <v>6280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IFERROR(__xludf.DUMMYFUNCTION("IMPORTRANGE(""https://docs.google.com/spreadsheets/d/1SX6NBoVAgQJ6U1MVXOaj8PK2l7WJ3RER9xtqwdhxkhw/edit?usp=sharing"",""นครนายก!M296"")"),205000)</f>
        <v>205000</v>
      </c>
      <c r="O401" s="373">
        <f ca="1">+IF(L401&gt;0,N401*100/L401,0)</f>
        <v>89.37524523695339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IFERROR(__xludf.DUMMYFUNCTION("IMPORTRANGE(""https://docs.google.com/spreadsheets/d/1SX6NBoVAgQJ6U1MVXOaj8PK2l7WJ3RER9xtqwdhxkhw/edit?usp=sharing"",""นครนายก!M299"")"),205000)</f>
        <v>205000</v>
      </c>
      <c r="O404" s="169">
        <f t="shared" ca="1" si="112"/>
        <v>89.37524523695339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IFERROR(__xludf.DUMMYFUNCTION("IMPORTRANGE(""https://docs.google.com/spreadsheets/d/1SX6NBoVAgQJ6U1MVXOaj8PK2l7WJ3RER9xtqwdhxkhw/edit?usp=sharing"",""นครนายก!M301"")"),205000)</f>
        <v>205000</v>
      </c>
      <c r="O406" s="169">
        <f t="shared" ca="1" si="112"/>
        <v>89.37524523695339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IFERROR(__xludf.DUMMYFUNCTION("IMPORTRANGE(""https://docs.google.com/spreadsheets/d/1SX6NBoVAgQJ6U1MVXOaj8PK2l7WJ3RER9xtqwdhxkhw/edit?usp=sharing"",""นครนายก!M302"")"),122050)</f>
        <v>122050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IFERROR(__xludf.DUMMYFUNCTION("IMPORTRANGE(""https://docs.google.com/spreadsheets/d/1SX6NBoVAgQJ6U1MVXOaj8PK2l7WJ3RER9xtqwdhxkhw/edit?usp=sharing"",""นครนายก!M305"")"),20450)</f>
        <v>20450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IFERROR(__xludf.DUMMYFUNCTION("IMPORTRANGE(""https://docs.google.com/spreadsheets/d/1SX6NBoVAgQJ6U1MVXOaj8PK2l7WJ3RER9xtqwdhxkhw/edit?usp=sharing"",""นครนายก!M330"")"),97890)</f>
        <v>97890</v>
      </c>
      <c r="O435" s="412">
        <f t="shared" ref="O435:O439" ca="1" si="114">+IF(L435&gt;0,N435*100/L435,0)</f>
        <v>42.560869565217388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IFERROR(__xludf.DUMMYFUNCTION("IMPORTRANGE(""https://docs.google.com/spreadsheets/d/1SX6NBoVAgQJ6U1MVXOaj8PK2l7WJ3RER9xtqwdhxkhw/edit?usp=sharing"",""นครนายก!M332"")"),97890)</f>
        <v>97890</v>
      </c>
      <c r="O437" s="169">
        <f t="shared" ca="1" si="114"/>
        <v>42.560869565217388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IFERROR(__xludf.DUMMYFUNCTION("IMPORTRANGE(""https://docs.google.com/spreadsheets/d/1SX6NBoVAgQJ6U1MVXOaj8PK2l7WJ3RER9xtqwdhxkhw/edit?usp=sharing"",""นครนายก!M334"")"),97890)</f>
        <v>97890</v>
      </c>
      <c r="O439" s="169">
        <f t="shared" ca="1" si="114"/>
        <v>42.560869565217388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IFERROR(__xludf.DUMMYFUNCTION("IMPORTRANGE(""https://docs.google.com/spreadsheets/d/1SX6NBoVAgQJ6U1MVXOaj8PK2l7WJ3RER9xtqwdhxkhw/edit?usp=sharing"",""นครนายก!M335"")"),97890)</f>
        <v>97890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IFERROR(__xludf.DUMMYFUNCTION("IMPORTRANGE(""https://docs.google.com/spreadsheets/d/1SX6NBoVAgQJ6U1MVXOaj8PK2l7WJ3RER9xtqwdhxkhw/edit?usp=sharing"",""นครนายก!I359"")"),0)</f>
        <v>0</v>
      </c>
      <c r="J464" s="267">
        <f ca="1">IFERROR(__xludf.DUMMYFUNCTION("IMPORTRANGE(""https://docs.google.com/spreadsheets/d/1SX6NBoVAgQJ6U1MVXOaj8PK2l7WJ3RER9xtqwdhxkhw/edit?usp=sharing"",""นครนายก!J359"")"),0)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IFERROR(__xludf.DUMMYFUNCTION("IMPORTRANGE(""https://docs.google.com/spreadsheets/d/1SX6NBoVAgQJ6U1MVXOaj8PK2l7WJ3RER9xtqwdhxkhw/edit?usp=sharing"",""นครนายก!I411"")"),0)</f>
        <v>0</v>
      </c>
      <c r="J516" s="267">
        <f ca="1">IFERROR(__xludf.DUMMYFUNCTION("IMPORTRANGE(""https://docs.google.com/spreadsheets/d/1SX6NBoVAgQJ6U1MVXOaj8PK2l7WJ3RER9xtqwdhxkhw/edit?usp=sharing"",""นครนายก!J411"")"),0)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IFERROR(__xludf.DUMMYFUNCTION("IMPORTRANGE(""https://docs.google.com/spreadsheets/d/1SX6NBoVAgQJ6U1MVXOaj8PK2l7WJ3RER9xtqwdhxkhw/edit?usp=sharing"",""นครนายก!I412"")"),0)</f>
        <v>0</v>
      </c>
      <c r="J517" s="284">
        <f ca="1">IFERROR(__xludf.DUMMYFUNCTION("IMPORTRANGE(""https://docs.google.com/spreadsheets/d/1SX6NBoVAgQJ6U1MVXOaj8PK2l7WJ3RER9xtqwdhxkhw/edit?usp=sharing"",""นครนายก!J412"")"),0)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IFERROR(__xludf.DUMMYFUNCTION("IMPORTRANGE(""https://docs.google.com/spreadsheets/d/1SX6NBoVAgQJ6U1MVXOaj8PK2l7WJ3RER9xtqwdhxkhw/edit?usp=sharing"",""นครนายก!I413"")"),0)</f>
        <v>0</v>
      </c>
      <c r="J518" s="284">
        <f ca="1">IFERROR(__xludf.DUMMYFUNCTION("IMPORTRANGE(""https://docs.google.com/spreadsheets/d/1SX6NBoVAgQJ6U1MVXOaj8PK2l7WJ3RER9xtqwdhxkhw/edit?usp=sharing"",""นครนายก!J413"")"),0)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IFERROR(__xludf.DUMMYFUNCTION("IMPORTRANGE(""https://docs.google.com/spreadsheets/d/1SX6NBoVAgQJ6U1MVXOaj8PK2l7WJ3RER9xtqwdhxkhw/edit?usp=sharing"",""นครนายก!I420"")"),0)</f>
        <v>0</v>
      </c>
      <c r="J525" s="284">
        <f ca="1">IFERROR(__xludf.DUMMYFUNCTION("IMPORTRANGE(""https://docs.google.com/spreadsheets/d/1SX6NBoVAgQJ6U1MVXOaj8PK2l7WJ3RER9xtqwdhxkhw/edit?usp=sharing"",""นครนายก!J420"")"),0)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IFERROR(__xludf.DUMMYFUNCTION("IMPORTRANGE(""https://docs.google.com/spreadsheets/d/1SX6NBoVAgQJ6U1MVXOaj8PK2l7WJ3RER9xtqwdhxkhw/edit?usp=sharing"",""นครนายก!I421"")"),0)</f>
        <v>0</v>
      </c>
      <c r="J526" s="284">
        <f ca="1">IFERROR(__xludf.DUMMYFUNCTION("IMPORTRANGE(""https://docs.google.com/spreadsheets/d/1SX6NBoVAgQJ6U1MVXOaj8PK2l7WJ3RER9xtqwdhxkhw/edit?usp=sharing"",""นครนายก!J421"")"),0)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IFERROR(__xludf.DUMMYFUNCTION("IMPORTRANGE(""https://docs.google.com/spreadsheets/d/1SX6NBoVAgQJ6U1MVXOaj8PK2l7WJ3RER9xtqwdhxkhw/edit?usp=sharing"",""นครนายก!M428"")"),20370)</f>
        <v>20370</v>
      </c>
      <c r="O533" s="412">
        <f t="shared" ref="O533:O537" ca="1" si="118">+IF(L533&gt;0,N533*100/L533,0)</f>
        <v>59.318578916715204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IFERROR(__xludf.DUMMYFUNCTION("IMPORTRANGE(""https://docs.google.com/spreadsheets/d/1SX6NBoVAgQJ6U1MVXOaj8PK2l7WJ3RER9xtqwdhxkhw/edit?usp=sharing"",""นครนายก!M430"")"),20370)</f>
        <v>20370</v>
      </c>
      <c r="O535" s="169">
        <f t="shared" ca="1" si="118"/>
        <v>59.318578916715204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IFERROR(__xludf.DUMMYFUNCTION("IMPORTRANGE(""https://docs.google.com/spreadsheets/d/1SX6NBoVAgQJ6U1MVXOaj8PK2l7WJ3RER9xtqwdhxkhw/edit?usp=sharing"",""นครนายก!M432"")"),20370)</f>
        <v>20370</v>
      </c>
      <c r="O537" s="169">
        <f t="shared" ca="1" si="118"/>
        <v>59.318578916715204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IFERROR(__xludf.DUMMYFUNCTION("IMPORTRANGE(""https://docs.google.com/spreadsheets/d/1SX6NBoVAgQJ6U1MVXOaj8PK2l7WJ3RER9xtqwdhxkhw/edit?usp=sharing"",""นครนายก!M433"")"),11410)</f>
        <v>11410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IFERROR(__xludf.DUMMYFUNCTION("IMPORTRANGE(""https://docs.google.com/spreadsheets/d/1SX6NBoVAgQJ6U1MVXOaj8PK2l7WJ3RER9xtqwdhxkhw/edit?usp=sharing"",""นครนายก!M436"")"),8960)</f>
        <v>8960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IFERROR(__xludf.DUMMYFUNCTION("IMPORTRANGE(""https://docs.google.com/spreadsheets/d/1SX6NBoVAgQJ6U1MVXOaj8PK2l7WJ3RER9xtqwdhxkhw/edit?usp=sharing"",""นครนายก!J459"")"),873)</f>
        <v>873</v>
      </c>
      <c r="K564" s="372">
        <f ca="1">IF(I564&gt;0,J564*100/I564,0)</f>
        <v>582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IFERROR(__xludf.DUMMYFUNCTION("IMPORTRANGE(""https://docs.google.com/spreadsheets/d/1SX6NBoVAgQJ6U1MVXOaj8PK2l7WJ3RER9xtqwdhxkhw/edit?usp=sharing"",""นครนายก!M461"")"),37080)</f>
        <v>37080</v>
      </c>
      <c r="O566" s="169">
        <f t="shared" ca="1" si="122"/>
        <v>31.024096385542169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IFERROR(__xludf.DUMMYFUNCTION("IMPORTRANGE(""https://docs.google.com/spreadsheets/d/1SX6NBoVAgQJ6U1MVXOaj8PK2l7WJ3RER9xtqwdhxkhw/edit?usp=sharing"",""นครนายก!M463"")"),37080)</f>
        <v>37080</v>
      </c>
      <c r="O568" s="169">
        <f t="shared" ca="1" si="122"/>
        <v>31.024096385542169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IFERROR(__xludf.DUMMYFUNCTION("IMPORTRANGE(""https://docs.google.com/spreadsheets/d/1SX6NBoVAgQJ6U1MVXOaj8PK2l7WJ3RER9xtqwdhxkhw/edit?usp=sharing"",""นครนายก!J468"")"),873)</f>
        <v>873</v>
      </c>
      <c r="K573" s="202">
        <f ca="1">IF(I573&gt;0,J573*100/I573,0)</f>
        <v>582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IFERROR(__xludf.DUMMYFUNCTION("IMPORTRANGE(""https://docs.google.com/spreadsheets/d/1SX6NBoVAgQJ6U1MVXOaj8PK2l7WJ3RER9xtqwdhxkhw/edit?usp=sharing"",""นครนายก!J471"")"),109)</f>
        <v>109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IFERROR(__xludf.DUMMYFUNCTION("IMPORTRANGE(""https://docs.google.com/spreadsheets/d/1SX6NBoVAgQJ6U1MVXOaj8PK2l7WJ3RER9xtqwdhxkhw/edit?usp=sharing"",""นครนายก!J472"")"),764)</f>
        <v>764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IFERROR(__xludf.DUMMYFUNCTION("IMPORTRANGE(""https://docs.google.com/spreadsheets/d/1SX6NBoVAgQJ6U1MVXOaj8PK2l7WJ3RER9xtqwdhxkhw/edit?usp=sharing"",""นครนายก!I491"")"),0)</f>
        <v>0</v>
      </c>
      <c r="J596" s="241">
        <f ca="1">IFERROR(__xludf.DUMMYFUNCTION("IMPORTRANGE(""https://docs.google.com/spreadsheets/d/1SX6NBoVAgQJ6U1MVXOaj8PK2l7WJ3RER9xtqwdhxkhw/edit?usp=sharing"",""นครนายก!J491"")"),0)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7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IFERROR(__xludf.DUMMYFUNCTION("IMPORTRANGE(""https://docs.google.com/spreadsheets/d/1SX6NBoVAgQJ6U1MVXOaj8PK2l7WJ3RER9xtqwdhxkhw/edit?usp=sharing"",""นครนายก!L494"")"),6950)</f>
        <v>6950</v>
      </c>
      <c r="M599" s="165"/>
      <c r="N599" s="169">
        <f ca="1">IFERROR(__xludf.DUMMYFUNCTION("IMPORTRANGE(""https://docs.google.com/spreadsheets/d/1SX6NBoVAgQJ6U1MVXOaj8PK2l7WJ3RER9xtqwdhxkhw/edit?usp=sharing"",""นครนายก!M494"")"),0)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IFERROR(__xludf.DUMMYFUNCTION("IMPORTRANGE(""https://docs.google.com/spreadsheets/d/1SX6NBoVAgQJ6U1MVXOaj8PK2l7WJ3RER9xtqwdhxkhw/edit?usp=sharing"",""นครนายก!L496"")"),6950)</f>
        <v>6950</v>
      </c>
      <c r="M601" s="169"/>
      <c r="N601" s="169">
        <f ca="1">IFERROR(__xludf.DUMMYFUNCTION("IMPORTRANGE(""https://docs.google.com/spreadsheets/d/1SX6NBoVAgQJ6U1MVXOaj8PK2l7WJ3RER9xtqwdhxkhw/edit?usp=sharing"",""นครนายก!M496"")"),0)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IFERROR(__xludf.DUMMYFUNCTION("IMPORTRANGE(""https://docs.google.com/spreadsheets/d/1SX6NBoVAgQJ6U1MVXOaj8PK2l7WJ3RER9xtqwdhxkhw/edit?usp=sharing"",""นครนายก!I523"")"),3031999.6)</f>
        <v>3031999.6</v>
      </c>
      <c r="J628" s="341">
        <f ca="1">IFERROR(__xludf.DUMMYFUNCTION("IMPORTRANGE(""https://docs.google.com/spreadsheets/d/1SX6NBoVAgQJ6U1MVXOaj8PK2l7WJ3RER9xtqwdhxkhw/edit?usp=sharing"",""นครนายก!J523"")"),1724834.17)</f>
        <v>1724834.17</v>
      </c>
      <c r="K628" s="342">
        <f t="shared" ref="K628:K635" ca="1" si="129">IF(I628&gt;0,J628*100/I628,0)</f>
        <v>56.887678019482586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IFERROR(__xludf.DUMMYFUNCTION("IMPORTRANGE(""https://docs.google.com/spreadsheets/d/1SX6NBoVAgQJ6U1MVXOaj8PK2l7WJ3RER9xtqwdhxkhw/edit?usp=sharing"",""นครนายก!I524"")"),113)</f>
        <v>113</v>
      </c>
      <c r="J629" s="341">
        <f ca="1">IFERROR(__xludf.DUMMYFUNCTION("IMPORTRANGE(""https://docs.google.com/spreadsheets/d/1SX6NBoVAgQJ6U1MVXOaj8PK2l7WJ3RER9xtqwdhxkhw/edit?usp=sharing"",""นครนายก!J524"")"),69)</f>
        <v>69</v>
      </c>
      <c r="K629" s="342">
        <f t="shared" ca="1" si="129"/>
        <v>61.061946902654867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IFERROR(__xludf.DUMMYFUNCTION("IMPORTRANGE(""https://docs.google.com/spreadsheets/d/1SX6NBoVAgQJ6U1MVXOaj8PK2l7WJ3RER9xtqwdhxkhw/edit?usp=sharing"",""นครนายก!I525"")"),3755607.57)</f>
        <v>3755607.57</v>
      </c>
      <c r="J630" s="341">
        <f ca="1">IFERROR(__xludf.DUMMYFUNCTION("IMPORTRANGE(""https://docs.google.com/spreadsheets/d/1SX6NBoVAgQJ6U1MVXOaj8PK2l7WJ3RER9xtqwdhxkhw/edit?usp=sharing"",""นครนายก!J525"")"),52703.35)</f>
        <v>52703.35</v>
      </c>
      <c r="K630" s="342">
        <f t="shared" ca="1" si="129"/>
        <v>1.4033242030130428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IFERROR(__xludf.DUMMYFUNCTION("IMPORTRANGE(""https://docs.google.com/spreadsheets/d/1SX6NBoVAgQJ6U1MVXOaj8PK2l7WJ3RER9xtqwdhxkhw/edit?usp=sharing"",""นครนายก!I526"")"),108)</f>
        <v>108</v>
      </c>
      <c r="J631" s="341">
        <f ca="1">IFERROR(__xludf.DUMMYFUNCTION("IMPORTRANGE(""https://docs.google.com/spreadsheets/d/1SX6NBoVAgQJ6U1MVXOaj8PK2l7WJ3RER9xtqwdhxkhw/edit?usp=sharing"",""นครนายก!J526"")"),14)</f>
        <v>14</v>
      </c>
      <c r="K631" s="342">
        <f t="shared" ca="1" si="129"/>
        <v>12.962962962962964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1">
        <f ca="1">IFERROR(__xludf.DUMMYFUNCTION("IMPORTRANGE(""https://docs.google.com/spreadsheets/d/1SX6NBoVAgQJ6U1MVXOaj8PK2l7WJ3RER9xtqwdhxkhw/edit?usp=sharing"",""นครนายก!J527"")"),2491596.96)</f>
        <v>2491596.96</v>
      </c>
      <c r="K632" s="342">
        <f t="shared" ca="1" si="129"/>
        <v>42.866332861351772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IFERROR(__xludf.DUMMYFUNCTION("IMPORTRANGE(""https://docs.google.com/spreadsheets/d/1SX6NBoVAgQJ6U1MVXOaj8PK2l7WJ3RER9xtqwdhxkhw/edit?usp=sharing"",""นครนายก!I528"")"),2019)</f>
        <v>2019</v>
      </c>
      <c r="J633" s="341">
        <f ca="1">IFERROR(__xludf.DUMMYFUNCTION("IMPORTRANGE(""https://docs.google.com/spreadsheets/d/1SX6NBoVAgQJ6U1MVXOaj8PK2l7WJ3RER9xtqwdhxkhw/edit?usp=sharing"",""นครนายก!J528"")"),1215)</f>
        <v>1215</v>
      </c>
      <c r="K633" s="342">
        <f t="shared" ca="1" si="129"/>
        <v>60.178306092124814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IFERROR(__xludf.DUMMYFUNCTION("IMPORTRANGE(""https://docs.google.com/spreadsheets/d/1SX6NBoVAgQJ6U1MVXOaj8PK2l7WJ3RER9xtqwdhxkhw/edit?usp=sharing"",""นครนายก!I529"")"),2000000)</f>
        <v>2000000</v>
      </c>
      <c r="J634" s="341">
        <f ca="1">IFERROR(__xludf.DUMMYFUNCTION("IMPORTRANGE(""https://docs.google.com/spreadsheets/d/1SX6NBoVAgQJ6U1MVXOaj8PK2l7WJ3RER9xtqwdhxkhw/edit?usp=sharing"",""นครนายก!J529"")"),2000000)</f>
        <v>2000000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IFERROR(__xludf.DUMMYFUNCTION("IMPORTRANGE(""https://docs.google.com/spreadsheets/d/1SX6NBoVAgQJ6U1MVXOaj8PK2l7WJ3RER9xtqwdhxkhw/edit?usp=sharing"",""นครนายก!I530"")"),60)</f>
        <v>60</v>
      </c>
      <c r="J635" s="504">
        <f ca="1">IFERROR(__xludf.DUMMYFUNCTION("IMPORTRANGE(""https://docs.google.com/spreadsheets/d/1SX6NBoVAgQJ6U1MVXOaj8PK2l7WJ3RER9xtqwdhxkhw/edit?usp=sharing"",""นครนายก!J530"")"),67)</f>
        <v>67</v>
      </c>
      <c r="K635" s="486">
        <f t="shared" ca="1" si="129"/>
        <v>111.66666666666667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66030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66030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66030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IFERROR(__xludf.DUMMYFUNCTION("IMPORTRANGE(""https://docs.google.com/spreadsheets/d/1SX6NBoVAgQJ6U1MVXOaj8PK2l7WJ3RER9xtqwdhxkhw/edit#gid=346597447"",""นครนายก!J541"")"),0)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IFERROR(__xludf.DUMMYFUNCTION("IMPORTRANGE(""https://docs.google.com/spreadsheets/d/1SX6NBoVAgQJ6U1MVXOaj8PK2l7WJ3RER9xtqwdhxkhw/edit#gid=346597447"",""นครนายก!J542"")"),0)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IFERROR(__xludf.DUMMYFUNCTION("IMPORTRANGE(""https://docs.google.com/spreadsheets/d/1SX6NBoVAgQJ6U1MVXOaj8PK2l7WJ3RER9xtqwdhxkhw/edit#gid=346597447"",""นครนายก!I543"")"),0)</f>
        <v>0</v>
      </c>
      <c r="J648" s="536">
        <f ca="1">IFERROR(__xludf.DUMMYFUNCTION("IMPORTRANGE(""https://docs.google.com/spreadsheets/d/1SX6NBoVAgQJ6U1MVXOaj8PK2l7WJ3RER9xtqwdhxkhw/edit#gid=346597447"",""นครนายก!J543"")"),0)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IFERROR(__xludf.DUMMYFUNCTION("IMPORTRANGE(""https://docs.google.com/spreadsheets/d/1SX6NBoVAgQJ6U1MVXOaj8PK2l7WJ3RER9xtqwdhxkhw/edit#gid=346597447"",""นครนายก!L543"")"),0)</f>
        <v>0</v>
      </c>
      <c r="M648" s="521"/>
      <c r="N648" s="538">
        <f ca="1">IFERROR(__xludf.DUMMYFUNCTION("IMPORTRANGE(""https://docs.google.com/spreadsheets/d/1SX6NBoVAgQJ6U1MVXOaj8PK2l7WJ3RER9xtqwdhxkhw/edit#gid=346597447"",""นครนายก!M543"")"),0)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IFERROR(__xludf.DUMMYFUNCTION("IMPORTRANGE(""https://docs.google.com/spreadsheets/d/1SX6NBoVAgQJ6U1MVXOaj8PK2l7WJ3RER9xtqwdhxkhw/edit#gid=346597447"",""นครนายก!I544"")"),5)</f>
        <v>5</v>
      </c>
      <c r="J649" s="536">
        <f ca="1">IFERROR(__xludf.DUMMYFUNCTION("IMPORTRANGE(""https://docs.google.com/spreadsheets/d/1SX6NBoVAgQJ6U1MVXOaj8PK2l7WJ3RER9xtqwdhxkhw/edit#gid=346597447"",""นครนายก!J544"")"),0)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IFERROR(__xludf.DUMMYFUNCTION("IMPORTRANGE(""https://docs.google.com/spreadsheets/d/1SX6NBoVAgQJ6U1MVXOaj8PK2l7WJ3RER9xtqwdhxkhw/edit#gid=346597447"",""นครนายก!L544"")"),600)</f>
        <v>600</v>
      </c>
      <c r="M649" s="521"/>
      <c r="N649" s="538">
        <f ca="1">IFERROR(__xludf.DUMMYFUNCTION("IMPORTRANGE(""https://docs.google.com/spreadsheets/d/1SX6NBoVAgQJ6U1MVXOaj8PK2l7WJ3RER9xtqwdhxkhw/edit#gid=346597447"",""นครนายก!M544"")"),0)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IFERROR(__xludf.DUMMYFUNCTION("IMPORTRANGE(""https://docs.google.com/spreadsheets/d/1SX6NBoVAgQJ6U1MVXOaj8PK2l7WJ3RER9xtqwdhxkhw/edit#gid=346597447"",""นครนายก!I545"")"),1000)</f>
        <v>1000</v>
      </c>
      <c r="J650" s="536">
        <f ca="1">IFERROR(__xludf.DUMMYFUNCTION("IMPORTRANGE(""https://docs.google.com/spreadsheets/d/1SX6NBoVAgQJ6U1MVXOaj8PK2l7WJ3RER9xtqwdhxkhw/edit#gid=346597447"",""นครนายก!J545"")"),0)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IFERROR(__xludf.DUMMYFUNCTION("IMPORTRANGE(""https://docs.google.com/spreadsheets/d/1SX6NBoVAgQJ6U1MVXOaj8PK2l7WJ3RER9xtqwdhxkhw/edit#gid=346597447"",""นครนายก!L545"")"),5000)</f>
        <v>5000</v>
      </c>
      <c r="M650" s="521"/>
      <c r="N650" s="538">
        <f ca="1">IFERROR(__xludf.DUMMYFUNCTION("IMPORTRANGE(""https://docs.google.com/spreadsheets/d/1SX6NBoVAgQJ6U1MVXOaj8PK2l7WJ3RER9xtqwdhxkhw/edit#gid=346597447"",""นครนายก!M545"")"),0)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IFERROR(__xludf.DUMMYFUNCTION("IMPORTRANGE(""https://docs.google.com/spreadsheets/d/1SX6NBoVAgQJ6U1MVXOaj8PK2l7WJ3RER9xtqwdhxkhw/edit#gid=346597447"",""นครนายก!I546"")"),350)</f>
        <v>350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IFERROR(__xludf.DUMMYFUNCTION("IMPORTRANGE(""https://docs.google.com/spreadsheets/d/1SX6NBoVAgQJ6U1MVXOaj8PK2l7WJ3RER9xtqwdhxkhw/edit#gid=346597447"",""นครนายก!L546"")"),8750)</f>
        <v>8750</v>
      </c>
      <c r="M651" s="521"/>
      <c r="N651" s="538">
        <f ca="1">IFERROR(__xludf.DUMMYFUNCTION("IMPORTRANGE(""https://docs.google.com/spreadsheets/d/1SX6NBoVAgQJ6U1MVXOaj8PK2l7WJ3RER9xtqwdhxkhw/edit#gid=346597447"",""นครนายก!M546"")"),0)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IFERROR(__xludf.DUMMYFUNCTION("IMPORTRANGE(""https://docs.google.com/spreadsheets/d/1SX6NBoVAgQJ6U1MVXOaj8PK2l7WJ3RER9xtqwdhxkhw/edit#gid=346597447"",""นครนายก!J547"")"),0)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IFERROR(__xludf.DUMMYFUNCTION("IMPORTRANGE(""https://docs.google.com/spreadsheets/d/1SX6NBoVAgQJ6U1MVXOaj8PK2l7WJ3RER9xtqwdhxkhw/edit#gid=346597447"",""นครนายก!J548"")"),0)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IFERROR(__xludf.DUMMYFUNCTION("IMPORTRANGE(""https://docs.google.com/spreadsheets/d/1SX6NBoVAgQJ6U1MVXOaj8PK2l7WJ3RER9xtqwdhxkhw/edit#gid=346597447"",""นครนายก!J550"")"),0)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IFERROR(__xludf.DUMMYFUNCTION("IMPORTRANGE(""https://docs.google.com/spreadsheets/d/1SX6NBoVAgQJ6U1MVXOaj8PK2l7WJ3RER9xtqwdhxkhw/edit#gid=346597447"",""นครนายก!J551"")"),0)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IFERROR(__xludf.DUMMYFUNCTION("IMPORTRANGE(""https://docs.google.com/spreadsheets/d/1SX6NBoVAgQJ6U1MVXOaj8PK2l7WJ3RER9xtqwdhxkhw/edit#gid=346597447"",""นครนายก!J552"")"),0)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IFERROR(__xludf.DUMMYFUNCTION("IMPORTRANGE(""https://docs.google.com/spreadsheets/d/1SX6NBoVAgQJ6U1MVXOaj8PK2l7WJ3RER9xtqwdhxkhw/edit#gid=346597447"",""นครนายก!J553"")"),0)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IFERROR(__xludf.DUMMYFUNCTION("IMPORTRANGE(""https://docs.google.com/spreadsheets/d/1SX6NBoVAgQJ6U1MVXOaj8PK2l7WJ3RER9xtqwdhxkhw/edit#gid=346597447"",""นครนายก!J554"")"),0)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IFERROR(__xludf.DUMMYFUNCTION("IMPORTRANGE(""https://docs.google.com/spreadsheets/d/1SX6NBoVAgQJ6U1MVXOaj8PK2l7WJ3RER9xtqwdhxkhw/edit#gid=346597447"",""นครนายก!J555"")"),0)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IFERROR(__xludf.DUMMYFUNCTION("IMPORTRANGE(""https://docs.google.com/spreadsheets/d/1SX6NBoVAgQJ6U1MVXOaj8PK2l7WJ3RER9xtqwdhxkhw/edit#gid=346597447"",""นครนายก!J556"")"),0)</f>
        <v>0</v>
      </c>
      <c r="K661" s="537"/>
      <c r="L661" s="522">
        <f ca="1">IFERROR(__xludf.DUMMYFUNCTION("IMPORTRANGE(""https://docs.google.com/spreadsheets/d/1SX6NBoVAgQJ6U1MVXOaj8PK2l7WJ3RER9xtqwdhxkhw/edit#gid=346597447"",""นครนายก!L556"")"),14000)</f>
        <v>14000</v>
      </c>
      <c r="M661" s="521"/>
      <c r="N661" s="538">
        <f ca="1">IFERROR(__xludf.DUMMYFUNCTION("IMPORTRANGE(""https://docs.google.com/spreadsheets/d/1SX6NBoVAgQJ6U1MVXOaj8PK2l7WJ3RER9xtqwdhxkhw/edit#gid=346597447"",""นครนายก!M556"")"),0)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IFERROR(__xludf.DUMMYFUNCTION("IMPORTRANGE(""https://docs.google.com/spreadsheets/d/1SX6NBoVAgQJ6U1MVXOaj8PK2l7WJ3RER9xtqwdhxkhw/edit#gid=346597447"",""นครนายก!J557"")"),0)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IFERROR(__xludf.DUMMYFUNCTION("IMPORTRANGE(""https://docs.google.com/spreadsheets/d/1SX6NBoVAgQJ6U1MVXOaj8PK2l7WJ3RER9xtqwdhxkhw/edit#gid=346597447"",""นครนายก!I558"")"),350)</f>
        <v>350</v>
      </c>
      <c r="J663" s="536">
        <f ca="1">IFERROR(__xludf.DUMMYFUNCTION("IMPORTRANGE(""https://docs.google.com/spreadsheets/d/1SX6NBoVAgQJ6U1MVXOaj8PK2l7WJ3RER9xtqwdhxkhw/edit#gid=346597447"",""นครนายก!J558"")"),0)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IFERROR(__xludf.DUMMYFUNCTION("IMPORTRANGE(""https://docs.google.com/spreadsheets/d/1SX6NBoVAgQJ6U1MVXOaj8PK2l7WJ3RER9xtqwdhxkhw/edit#gid=346597447"",""นครนายก!I560"")"),31)</f>
        <v>31</v>
      </c>
      <c r="J665" s="536">
        <f ca="1">IFERROR(__xludf.DUMMYFUNCTION("IMPORTRANGE(""https://docs.google.com/spreadsheets/d/1SX6NBoVAgQJ6U1MVXOaj8PK2l7WJ3RER9xtqwdhxkhw/edit#gid=346597447"",""นครนายก!J560"")"),0)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IFERROR(__xludf.DUMMYFUNCTION("IMPORTRANGE(""https://docs.google.com/spreadsheets/d/1SX6NBoVAgQJ6U1MVXOaj8PK2l7WJ3RER9xtqwdhxkhw/edit#gid=346597447"",""นครนายก!L560"")"),3720)</f>
        <v>3720</v>
      </c>
      <c r="M665" s="521"/>
      <c r="N665" s="538">
        <f ca="1">IFERROR(__xludf.DUMMYFUNCTION("IMPORTRANGE(""https://docs.google.com/spreadsheets/d/1SX6NBoVAgQJ6U1MVXOaj8PK2l7WJ3RER9xtqwdhxkhw/edit#gid=346597447"",""นครนายก!M560"")"),0)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IFERROR(__xludf.DUMMYFUNCTION("IMPORTRANGE(""https://docs.google.com/spreadsheets/d/1SX6NBoVAgQJ6U1MVXOaj8PK2l7WJ3RER9xtqwdhxkhw/edit#gid=346597447"",""นครนายก!J561"")"),0)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IFERROR(__xludf.DUMMYFUNCTION("IMPORTRANGE(""https://docs.google.com/spreadsheets/d/1SX6NBoVAgQJ6U1MVXOaj8PK2l7WJ3RER9xtqwdhxkhw/edit#gid=346597447"",""นครนายก!J562"")"),0)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IFERROR(__xludf.DUMMYFUNCTION("IMPORTRANGE(""https://docs.google.com/spreadsheets/d/1SX6NBoVAgQJ6U1MVXOaj8PK2l7WJ3RER9xtqwdhxkhw/edit#gid=346597447"",""นครนายก!I563"")"),31)</f>
        <v>31</v>
      </c>
      <c r="J668" s="536">
        <f ca="1">IFERROR(__xludf.DUMMYFUNCTION("IMPORTRANGE(""https://docs.google.com/spreadsheets/d/1SX6NBoVAgQJ6U1MVXOaj8PK2l7WJ3RER9xtqwdhxkhw/edit#gid=346597447"",""นครนายก!J563"")"),0)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IFERROR(__xludf.DUMMYFUNCTION("IMPORTRANGE(""https://docs.google.com/spreadsheets/d/1SX6NBoVAgQJ6U1MVXOaj8PK2l7WJ3RER9xtqwdhxkhw/edit#gid=346597447"",""นครนายก!L563"")"),17480)</f>
        <v>17480</v>
      </c>
      <c r="M668" s="521"/>
      <c r="N668" s="538">
        <f ca="1">IFERROR(__xludf.DUMMYFUNCTION("IMPORTRANGE(""https://docs.google.com/spreadsheets/d/1SX6NBoVAgQJ6U1MVXOaj8PK2l7WJ3RER9xtqwdhxkhw/edit#gid=346597447"",""นครนายก!M563"")"),0)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IFERROR(__xludf.DUMMYFUNCTION("IMPORTRANGE(""https://docs.google.com/spreadsheets/d/1SX6NBoVAgQJ6U1MVXOaj8PK2l7WJ3RER9xtqwdhxkhw/edit#gid=346597447"",""นครนายก!J564"")"),0)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IFERROR(__xludf.DUMMYFUNCTION("IMPORTRANGE(""https://docs.google.com/spreadsheets/d/1SX6NBoVAgQJ6U1MVXOaj8PK2l7WJ3RER9xtqwdhxkhw/edit#gid=346597447"",""นครนายก!J565"")"),0)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IFERROR(__xludf.DUMMYFUNCTION("IMPORTRANGE(""https://docs.google.com/spreadsheets/d/1SX6NBoVAgQJ6U1MVXOaj8PK2l7WJ3RER9xtqwdhxkhw/edit#gid=346597447"",""นครนายก!I566"")"),206)</f>
        <v>206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IFERROR(__xludf.DUMMYFUNCTION("IMPORTRANGE(""https://docs.google.com/spreadsheets/d/1SX6NBoVAgQJ6U1MVXOaj8PK2l7WJ3RER9xtqwdhxkhw/edit#gid=346597447"",""นครนายก!L566"")"),16480)</f>
        <v>16480</v>
      </c>
      <c r="M671" s="521"/>
      <c r="N671" s="538">
        <f ca="1">IFERROR(__xludf.DUMMYFUNCTION("IMPORTRANGE(""https://docs.google.com/spreadsheets/d/1SX6NBoVAgQJ6U1MVXOaj8PK2l7WJ3RER9xtqwdhxkhw/edit#gid=346597447"",""นครนายก!M566"")"),0)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IFERROR(__xludf.DUMMYFUNCTION("IMPORTRANGE(""https://docs.google.com/spreadsheets/d/1SX6NBoVAgQJ6U1MVXOaj8PK2l7WJ3RER9xtqwdhxkhw/edit#gid=346597447"",""นครนายก!J567"")"),0)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IFERROR(__xludf.DUMMYFUNCTION("IMPORTRANGE(""https://docs.google.com/spreadsheets/d/1SX6NBoVAgQJ6U1MVXOaj8PK2l7WJ3RER9xtqwdhxkhw/edit#gid=346597447"",""นครนายก!J568"")"),0)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IFERROR(__xludf.DUMMYFUNCTION("IMPORTRANGE(""https://docs.google.com/spreadsheets/d/1SX6NBoVAgQJ6U1MVXOaj8PK2l7WJ3RER9xtqwdhxkhw/edit#gid=346597447"",""นครนายก!J569"")"),0)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IFERROR(__xludf.DUMMYFUNCTION("IMPORTRANGE(""https://docs.google.com/spreadsheets/d/1SX6NBoVAgQJ6U1MVXOaj8PK2l7WJ3RER9xtqwdhxkhw/edit#gid=346597447"",""นครนายก!J570"")"),0)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IFERROR(__xludf.DUMMYFUNCTION("IMPORTRANGE(""https://docs.google.com/spreadsheets/d/1SX6NBoVAgQJ6U1MVXOaj8PK2l7WJ3RER9xtqwdhxkhw/edit#gid=346597447"",""นครนายก!J571"")"),0)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IFERROR(__xludf.DUMMYFUNCTION("IMPORTRANGE(""https://docs.google.com/spreadsheets/d/1SX6NBoVAgQJ6U1MVXOaj8PK2l7WJ3RER9xtqwdhxkhw/edit#gid=346597447"",""นครนายก!J572"")"),0)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97" sqref="A597:XFD597"/>
      <selection pane="bottomLeft" activeCell="A7" sqref="A7:G7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2426755</v>
      </c>
      <c r="M8" s="23">
        <f t="shared" ca="1" si="0"/>
        <v>1627685.1400000001</v>
      </c>
      <c r="N8" s="23">
        <f t="shared" ca="1" si="0"/>
        <v>1465109.11</v>
      </c>
      <c r="O8" s="22">
        <f t="shared" ref="O8:O16" ca="1" si="1">IF(L8&gt;0,N8*100/L8,0)</f>
        <v>60.373177762073219</v>
      </c>
      <c r="P8" s="22">
        <f t="shared" ref="P8:P16" ca="1" si="2">IF(M8&gt;0,N8*100/M8,0)</f>
        <v>90.011825628634782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2426755</v>
      </c>
      <c r="M10" s="30">
        <f t="shared" ca="1" si="4"/>
        <v>1627685.1400000001</v>
      </c>
      <c r="N10" s="30">
        <f t="shared" ca="1" si="4"/>
        <v>1465109.11</v>
      </c>
      <c r="O10" s="29">
        <f t="shared" ca="1" si="1"/>
        <v>60.373177762073219</v>
      </c>
      <c r="P10" s="29">
        <f t="shared" ca="1" si="2"/>
        <v>90.011825628634782</v>
      </c>
    </row>
    <row r="11" spans="1:16" ht="21.75" customHeight="1" x14ac:dyDescent="0.3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2284205</v>
      </c>
      <c r="M12" s="38">
        <f t="shared" ca="1" si="6"/>
        <v>1485135.1400000001</v>
      </c>
      <c r="N12" s="38">
        <f t="shared" ca="1" si="6"/>
        <v>1322559.1100000001</v>
      </c>
      <c r="O12" s="38">
        <f t="shared" ca="1" si="1"/>
        <v>57.900193283877769</v>
      </c>
      <c r="P12" s="38">
        <f t="shared" ca="1" si="2"/>
        <v>89.053115395276421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816205</v>
      </c>
      <c r="M14" s="38">
        <f t="shared" si="8"/>
        <v>0</v>
      </c>
      <c r="N14" s="38">
        <f t="shared" ca="1" si="8"/>
        <v>218610.72</v>
      </c>
      <c r="O14" s="38">
        <f t="shared" ca="1" si="1"/>
        <v>26.783800638320031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142550</v>
      </c>
      <c r="M16" s="38">
        <f t="shared" ca="1" si="10"/>
        <v>142550</v>
      </c>
      <c r="N16" s="38">
        <f t="shared" ca="1" si="10"/>
        <v>142550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2067155</v>
      </c>
      <c r="M18" s="23">
        <f t="shared" ca="1" si="11"/>
        <v>1627685.1400000001</v>
      </c>
      <c r="N18" s="23">
        <f t="shared" ca="1" si="11"/>
        <v>1246498.3900000001</v>
      </c>
      <c r="O18" s="22">
        <f t="shared" ref="O18:O20" ca="1" si="12">IF(L18&gt;0,N18*100/L18,0)</f>
        <v>60.300189874489341</v>
      </c>
      <c r="P18" s="22">
        <f t="shared" ref="P18:P26" ca="1" si="13">IF(M18&gt;0,N18*100/M18,0)</f>
        <v>76.581051173078848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2067155</v>
      </c>
      <c r="M20" s="30">
        <f t="shared" ca="1" si="15"/>
        <v>1627685.1400000001</v>
      </c>
      <c r="N20" s="30">
        <f t="shared" ca="1" si="15"/>
        <v>1246498.3900000001</v>
      </c>
      <c r="O20" s="29">
        <f t="shared" ca="1" si="12"/>
        <v>60.300189874489341</v>
      </c>
      <c r="P20" s="29">
        <f t="shared" ca="1" si="13"/>
        <v>76.581051173078848</v>
      </c>
    </row>
    <row r="21" spans="1:16" ht="21.75" customHeight="1" x14ac:dyDescent="0.3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1485135.1400000001</v>
      </c>
      <c r="N22" s="38">
        <f t="shared" ca="1" si="18"/>
        <v>1103948.3900000001</v>
      </c>
      <c r="O22" s="38">
        <f t="shared" ca="1" si="17"/>
        <v>57.359738232000858</v>
      </c>
      <c r="P22" s="38">
        <f t="shared" ca="1" si="13"/>
        <v>74.333194351592809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142550</v>
      </c>
      <c r="M26" s="49">
        <f t="shared" ca="1" si="22"/>
        <v>142550</v>
      </c>
      <c r="N26" s="49">
        <f t="shared" ca="1" si="22"/>
        <v>142550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359600</v>
      </c>
      <c r="M28" s="23">
        <f t="shared" si="23"/>
        <v>0</v>
      </c>
      <c r="N28" s="23">
        <f t="shared" ca="1" si="23"/>
        <v>218610.72</v>
      </c>
      <c r="O28" s="22">
        <f t="shared" ref="O28:O30" ca="1" si="24">IF(L28&gt;0,N28*100/L28,0)</f>
        <v>60.792747497219132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359600</v>
      </c>
      <c r="M30" s="30">
        <f t="shared" si="27"/>
        <v>0</v>
      </c>
      <c r="N30" s="30">
        <f t="shared" ca="1" si="27"/>
        <v>218610.72</v>
      </c>
      <c r="O30" s="29">
        <f t="shared" ca="1" si="24"/>
        <v>60.792747497219132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359600</v>
      </c>
      <c r="M32" s="38">
        <f t="shared" si="30"/>
        <v>0</v>
      </c>
      <c r="N32" s="38">
        <f t="shared" ca="1" si="30"/>
        <v>218610.72</v>
      </c>
      <c r="O32" s="38">
        <f t="shared" ca="1" si="29"/>
        <v>60.792747497219132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359600</v>
      </c>
      <c r="M34" s="38">
        <f t="shared" si="32"/>
        <v>0</v>
      </c>
      <c r="N34" s="38">
        <f t="shared" ca="1" si="32"/>
        <v>218610.72</v>
      </c>
      <c r="O34" s="38">
        <f t="shared" ca="1" si="29"/>
        <v>60.792747497219132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2067155</v>
      </c>
      <c r="M37" s="54">
        <f t="shared" ca="1" si="33"/>
        <v>1627685.1400000001</v>
      </c>
      <c r="N37" s="54">
        <f t="shared" ca="1" si="33"/>
        <v>1246498.3900000001</v>
      </c>
      <c r="O37" s="55">
        <f t="shared" ca="1" si="29"/>
        <v>60.300189874489341</v>
      </c>
      <c r="P37" s="55">
        <f t="shared" ca="1" si="25"/>
        <v>76.581051173078848</v>
      </c>
    </row>
    <row r="38" spans="1:16" ht="21.75" customHeight="1" x14ac:dyDescent="0.3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422500</v>
      </c>
      <c r="N41" s="78">
        <f t="shared" ca="1" si="34"/>
        <v>327401.36</v>
      </c>
      <c r="O41" s="77">
        <f t="shared" ref="O41:O43" ca="1" si="35">IF(L41&gt;0,N41*100/L41,0)</f>
        <v>58.122023788389846</v>
      </c>
      <c r="P41" s="77">
        <f t="shared" ref="P41:P43" ca="1" si="36">IF(M41&gt;0,N41*100/M41,0)</f>
        <v>77.491446153846155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422500</v>
      </c>
      <c r="N43" s="78">
        <f t="shared" ca="1" si="38"/>
        <v>327401.36</v>
      </c>
      <c r="O43" s="77">
        <f t="shared" ca="1" si="35"/>
        <v>58.122023788389846</v>
      </c>
      <c r="P43" s="77">
        <f t="shared" ca="1" si="36"/>
        <v>77.491446153846155</v>
      </c>
    </row>
    <row r="44" spans="1:16" ht="21.75" customHeight="1" x14ac:dyDescent="0.3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IFERROR(__xludf.DUMMYFUNCTION("IMPORTRANGE(""https://docs.google.com/spreadsheets/d/1Yj_ptqi66GCucihVvJfMjLAmec39IyEx_6qawtMGysU/edit?usp=sharing"",""สบก!Q66"")"),422500)</f>
        <v>422500</v>
      </c>
      <c r="N45" s="49">
        <f ca="1">IFERROR(__xludf.DUMMYFUNCTION("IMPORTRANGE(""https://docs.google.com/spreadsheets/d/1Yj_ptqi66GCucihVvJfMjLAmec39IyEx_6qawtMGysU/edit?usp=sharing"",""สบก!R66"")"),327401.36)</f>
        <v>327401.36</v>
      </c>
      <c r="O45" s="38">
        <f ca="1">IF(L45&gt;0,N45*100/L45,0)</f>
        <v>58.122023788389846</v>
      </c>
      <c r="P45" s="38">
        <f ca="1">IF(M45&gt;0,N45*100/M45,0)</f>
        <v>77.491446153846155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244855.14</v>
      </c>
      <c r="N53" s="121">
        <f t="shared" ca="1" si="39"/>
        <v>191972</v>
      </c>
      <c r="O53" s="120">
        <f t="shared" ref="O53:O55" ca="1" si="40">IF(L53&gt;0,N53*100/L53,0)</f>
        <v>66.656944444444449</v>
      </c>
      <c r="P53" s="120">
        <f t="shared" ref="P53:P55" ca="1" si="41">IF(M53&gt;0,N53*100/M53,0)</f>
        <v>78.402274912423721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244855.14</v>
      </c>
      <c r="N55" s="121">
        <f t="shared" ca="1" si="43"/>
        <v>191972</v>
      </c>
      <c r="O55" s="120">
        <f t="shared" ca="1" si="40"/>
        <v>66.656944444444449</v>
      </c>
      <c r="P55" s="120">
        <f t="shared" ca="1" si="41"/>
        <v>78.402274912423721</v>
      </c>
    </row>
    <row r="56" spans="1:16" ht="21.75" customHeight="1" x14ac:dyDescent="0.3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IFERROR(__xludf.DUMMYFUNCTION("IMPORTRANGE(""https://docs.google.com/spreadsheets/d/1Yj_ptqi66GCucihVvJfMjLAmec39IyEx_6qawtMGysU/edit?usp=sharing"",""สบก!Z66"")"),244855.14)</f>
        <v>244855.14</v>
      </c>
      <c r="N57" s="49">
        <f ca="1">IFERROR(__xludf.DUMMYFUNCTION("IMPORTRANGE(""https://docs.google.com/spreadsheets/d/1Yj_ptqi66GCucihVvJfMjLAmec39IyEx_6qawtMGysU/edit?usp=sharing"",""สบก!AA66"")"),191972)</f>
        <v>191972</v>
      </c>
      <c r="O57" s="38">
        <f ca="1">IF(L57&gt;0,N57*100/L57,0)</f>
        <v>66.656944444444449</v>
      </c>
      <c r="P57" s="38">
        <f ca="1">IF(M57&gt;0,N57*100/M57,0)</f>
        <v>78.402274912423721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IFERROR(__xludf.DUMMYFUNCTION("IMPORTRANGE(""https://docs.google.com/spreadsheets/d/1Yj_ptqi66GCucihVvJfMjLAmec39IyEx_6qawtMGysU/edit?usp=sharing"",""สบก!AI66"")"),0)</f>
        <v>0</v>
      </c>
      <c r="N70" s="169">
        <f ca="1">IFERROR(__xludf.DUMMYFUNCTION("IMPORTRANGE(""https://docs.google.com/spreadsheets/d/1Yj_ptqi66GCucihVvJfMjLAmec39IyEx_6qawtMGysU/edit?usp=sharing"",""สบก!AJ66"")"),0)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IFERROR(__xludf.DUMMYFUNCTION("IMPORTRANGE(""https://docs.google.com/spreadsheets/d/1SX6NBoVAgQJ6U1MVXOaj8PK2l7WJ3RER9xtqwdhxkhw/edit?usp=sharing"",""นครปฐม!J50"")"),0)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275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IFERROR(__xludf.DUMMYFUNCTION("IMPORTRANGE(""https://docs.google.com/spreadsheets/d/1SX6NBoVAgQJ6U1MVXOaj8PK2l7WJ3RER9xtqwdhxkhw/edit?usp=sharing"",""นครปฐม!J65"")"),0)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IFERROR(__xludf.DUMMYFUNCTION("IMPORTRANGE(""https://docs.google.com/spreadsheets/d/1SX6NBoVAgQJ6U1MVXOaj8PK2l7WJ3RER9xtqwdhxkhw/edit?usp=sharing"",""นครปฐม!I68"")"),20)</f>
        <v>20</v>
      </c>
      <c r="J138" s="267">
        <f ca="1">IFERROR(__xludf.DUMMYFUNCTION("IMPORTRANGE(""https://docs.google.com/spreadsheets/d/1SX6NBoVAgQJ6U1MVXOaj8PK2l7WJ3RER9xtqwdhxkhw/edit?usp=sharing"",""นครปฐม!J68"")"),20)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567900</v>
      </c>
      <c r="M140" s="152">
        <f t="shared" ca="1" si="64"/>
        <v>443925</v>
      </c>
      <c r="N140" s="152">
        <f t="shared" ca="1" si="64"/>
        <v>314660.03000000003</v>
      </c>
      <c r="O140" s="151">
        <f t="shared" ref="O140:O142" ca="1" si="65">IF(L140&gt;0,N140*100/L140,0)</f>
        <v>55.407647473146689</v>
      </c>
      <c r="P140" s="151">
        <f t="shared" ref="P140:P142" ca="1" si="66">IF(M140&gt;0,N140*100/M140,0)</f>
        <v>70.881349327025973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567900</v>
      </c>
      <c r="M142" s="157">
        <f t="shared" ca="1" si="68"/>
        <v>443925</v>
      </c>
      <c r="N142" s="157">
        <f t="shared" ca="1" si="68"/>
        <v>314660.03000000003</v>
      </c>
      <c r="O142" s="156">
        <f t="shared" ca="1" si="65"/>
        <v>55.407647473146689</v>
      </c>
      <c r="P142" s="156">
        <f t="shared" ca="1" si="66"/>
        <v>70.881349327025973</v>
      </c>
    </row>
    <row r="143" spans="1:16" ht="21.75" customHeight="1" x14ac:dyDescent="0.3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567900</v>
      </c>
      <c r="M144" s="168">
        <f ca="1">IFERROR(__xludf.DUMMYFUNCTION("IMPORTRANGE(""https://docs.google.com/spreadsheets/d/1Yj_ptqi66GCucihVvJfMjLAmec39IyEx_6qawtMGysU/edit?usp=sharing"",""สบก!BJ66"")"),443925)</f>
        <v>443925</v>
      </c>
      <c r="N144" s="169">
        <f ca="1">IFERROR(__xludf.DUMMYFUNCTION("IMPORTRANGE(""https://docs.google.com/spreadsheets/d/1Yj_ptqi66GCucihVvJfMjLAmec39IyEx_6qawtMGysU/edit?usp=sharing"",""สบก!BK66"")"),314660.03)</f>
        <v>314660.03000000003</v>
      </c>
      <c r="O144" s="169">
        <f ca="1">IF(L144&gt;0,N144*100/L144,0)</f>
        <v>55.407647473146689</v>
      </c>
      <c r="P144" s="169">
        <f ca="1">IF(M144&gt;0,N144*100/M144,0)</f>
        <v>70.881349327025973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IFERROR(__xludf.DUMMYFUNCTION("IMPORTRANGE(""https://docs.google.com/spreadsheets/d/1Yj_ptqi66GCucihVvJfMjLAmec39IyEx_6qawtMGysU/edit?usp=sharing"",""สบก!BG66"")"),257200)</f>
        <v>257200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IFERROR(__xludf.DUMMYFUNCTION("IMPORTRANGE(""https://docs.google.com/spreadsheets/d/1SX6NBoVAgQJ6U1MVXOaj8PK2l7WJ3RER9xtqwdhxkhw/edit?usp=sharing"",""นครปฐม!I74"")"),4)</f>
        <v>4</v>
      </c>
      <c r="J149" s="275">
        <f ca="1">IFERROR(__xludf.DUMMYFUNCTION("IMPORTRANGE(""https://docs.google.com/spreadsheets/d/1SX6NBoVAgQJ6U1MVXOaj8PK2l7WJ3RER9xtqwdhxkhw/edit?usp=sharing"",""นครปฐม!J74"")"),2)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IFERROR(__xludf.DUMMYFUNCTION("IMPORTRANGE(""https://docs.google.com/spreadsheets/d/1SX6NBoVAgQJ6U1MVXOaj8PK2l7WJ3RER9xtqwdhxkhw/edit?usp=sharing"",""นครปฐม!I89"")"),3)</f>
        <v>3</v>
      </c>
      <c r="J164" s="284">
        <f ca="1">IFERROR(__xludf.DUMMYFUNCTION("IMPORTRANGE(""https://docs.google.com/spreadsheets/d/1SX6NBoVAgQJ6U1MVXOaj8PK2l7WJ3RER9xtqwdhxkhw/edit?usp=sharing"",""นครปฐม!J89"")"),3)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IFERROR(__xludf.DUMMYFUNCTION("IMPORTRANGE(""https://docs.google.com/spreadsheets/d/1SX6NBoVAgQJ6U1MVXOaj8PK2l7WJ3RER9xtqwdhxkhw/edit?usp=sharing"",""นครปฐม!J100"")"),0)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IFERROR(__xludf.DUMMYFUNCTION("IMPORTRANGE(""https://docs.google.com/spreadsheets/d/1SX6NBoVAgQJ6U1MVXOaj8PK2l7WJ3RER9xtqwdhxkhw/edit?usp=sharing"",""นครปฐม!I101"")"),0)</f>
        <v>0</v>
      </c>
      <c r="J176" s="284">
        <f ca="1">IFERROR(__xludf.DUMMYFUNCTION("IMPORTRANGE(""https://docs.google.com/spreadsheets/d/1SX6NBoVAgQJ6U1MVXOaj8PK2l7WJ3RER9xtqwdhxkhw/edit?usp=sharing"",""นครปฐม!J101"")"),0)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IFERROR(__xludf.DUMMYFUNCTION("IMPORTRANGE(""https://docs.google.com/spreadsheets/d/1SX6NBoVAgQJ6U1MVXOaj8PK2l7WJ3RER9xtqwdhxkhw/edit?usp=sharing"",""นครปฐม!J113"")"),0)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IFERROR(__xludf.DUMMYFUNCTION("IMPORTRANGE(""https://docs.google.com/spreadsheets/d/1SX6NBoVAgQJ6U1MVXOaj8PK2l7WJ3RER9xtqwdhxkhw/edit?usp=sharing"",""นครปฐม!I114"")"),5000)</f>
        <v>5000</v>
      </c>
      <c r="J189" s="284">
        <f ca="1">IFERROR(__xludf.DUMMYFUNCTION("IMPORTRANGE(""https://docs.google.com/spreadsheets/d/1SX6NBoVAgQJ6U1MVXOaj8PK2l7WJ3RER9xtqwdhxkhw/edit?usp=sharing"",""นครปฐม!J114"")"),0)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IFERROR(__xludf.DUMMYFUNCTION("IMPORTRANGE(""https://docs.google.com/spreadsheets/d/1SX6NBoVAgQJ6U1MVXOaj8PK2l7WJ3RER9xtqwdhxkhw/edit?usp=sharing"",""นครปฐม!J128"")"),0)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IFERROR(__xludf.DUMMYFUNCTION("IMPORTRANGE(""https://docs.google.com/spreadsheets/d/1SX6NBoVAgQJ6U1MVXOaj8PK2l7WJ3RER9xtqwdhxkhw/edit?usp=sharing"",""นครปฐม!I129"")"),20)</f>
        <v>20</v>
      </c>
      <c r="J204" s="284">
        <f ca="1">IFERROR(__xludf.DUMMYFUNCTION("IMPORTRANGE(""https://docs.google.com/spreadsheets/d/1SX6NBoVAgQJ6U1MVXOaj8PK2l7WJ3RER9xtqwdhxkhw/edit?usp=sharing"",""นครปฐม!J129"")"),20)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IFERROR(__xludf.DUMMYFUNCTION("IMPORTRANGE(""https://docs.google.com/spreadsheets/d/1SX6NBoVAgQJ6U1MVXOaj8PK2l7WJ3RER9xtqwdhxkhw/edit?usp=sharing"",""นครปฐม!J143"")"),0)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IFERROR(__xludf.DUMMYFUNCTION("IMPORTRANGE(""https://docs.google.com/spreadsheets/d/1SX6NBoVAgQJ6U1MVXOaj8PK2l7WJ3RER9xtqwdhxkhw/edit?usp=sharing"",""นครปฐม!I144"")"),13)</f>
        <v>13</v>
      </c>
      <c r="J219" s="267">
        <f ca="1">IFERROR(__xludf.DUMMYFUNCTION("IMPORTRANGE(""https://docs.google.com/spreadsheets/d/1SX6NBoVAgQJ6U1MVXOaj8PK2l7WJ3RER9xtqwdhxkhw/edit?usp=sharing"",""นครปฐม!J144"")"),13)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IFERROR(__xludf.DUMMYFUNCTION("IMPORTRANGE(""https://docs.google.com/spreadsheets/d/1SX6NBoVAgQJ6U1MVXOaj8PK2l7WJ3RER9xtqwdhxkhw/edit?usp=sharing"",""นครปฐม!I149"")"),13)</f>
        <v>13</v>
      </c>
      <c r="J229" s="267">
        <f ca="1">IFERROR(__xludf.DUMMYFUNCTION("IMPORTRANGE(""https://docs.google.com/spreadsheets/d/1SX6NBoVAgQJ6U1MVXOaj8PK2l7WJ3RER9xtqwdhxkhw/edit?usp=sharing"",""นครปฐม!J149"")"),13)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IFERROR(__xludf.DUMMYFUNCTION("IMPORTRANGE(""https://docs.google.com/spreadsheets/d/1SX6NBoVAgQJ6U1MVXOaj8PK2l7WJ3RER9xtqwdhxkhw/edit?usp=sharing"",""นครปฐม!I158"")"),0)</f>
        <v>0</v>
      </c>
      <c r="J238" s="267">
        <f ca="1">IFERROR(__xludf.DUMMYFUNCTION("IMPORTRANGE(""https://docs.google.com/spreadsheets/d/1SX6NBoVAgQJ6U1MVXOaj8PK2l7WJ3RER9xtqwdhxkhw/edit?usp=sharing"",""นครปฐม!J158"")"),0)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IFERROR(__xludf.DUMMYFUNCTION("IMPORTRANGE(""https://docs.google.com/spreadsheets/d/1SX6NBoVAgQJ6U1MVXOaj8PK2l7WJ3RER9xtqwdhxkhw/edit?usp=sharing"",""นครปฐม!J166"")"),0)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IFERROR(__xludf.DUMMYFUNCTION("IMPORTRANGE(""https://docs.google.com/spreadsheets/d/1SX6NBoVAgQJ6U1MVXOaj8PK2l7WJ3RER9xtqwdhxkhw/edit?usp=sharing"",""นครปฐม!I169"")"),0)</f>
        <v>0</v>
      </c>
      <c r="J249" s="316">
        <f ca="1">IFERROR(__xludf.DUMMYFUNCTION("IMPORTRANGE(""https://docs.google.com/spreadsheets/d/1SX6NBoVAgQJ6U1MVXOaj8PK2l7WJ3RER9xtqwdhxkhw/edit?usp=sharing"",""นครปฐม!J169"")"),0)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IFERROR(__xludf.DUMMYFUNCTION("IMPORTRANGE(""https://docs.google.com/spreadsheets/d/1SX6NBoVAgQJ6U1MVXOaj8PK2l7WJ3RER9xtqwdhxkhw/edit?usp=sharing"",""นครปฐม!J184"")"),0)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IFERROR(__xludf.DUMMYFUNCTION("IMPORTRANGE(""https://docs.google.com/spreadsheets/d/1SX6NBoVAgQJ6U1MVXOaj8PK2l7WJ3RER9xtqwdhxkhw/edit?usp=sharing"",""นครปฐม!I185"")"),0)</f>
        <v>0</v>
      </c>
      <c r="J270" s="316">
        <f ca="1">IFERROR(__xludf.DUMMYFUNCTION("IMPORTRANGE(""https://docs.google.com/spreadsheets/d/1SX6NBoVAgQJ6U1MVXOaj8PK2l7WJ3RER9xtqwdhxkhw/edit?usp=sharing"",""นครปฐม!J185"")"),0)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IFERROR(__xludf.DUMMYFUNCTION("IMPORTRANGE(""https://docs.google.com/spreadsheets/d/1SX6NBoVAgQJ6U1MVXOaj8PK2l7WJ3RER9xtqwdhxkhw/edit?usp=sharing"",""นครปฐม!I199"")"),0)</f>
        <v>0</v>
      </c>
      <c r="J289" s="316">
        <f ca="1">IFERROR(__xludf.DUMMYFUNCTION("IMPORTRANGE(""https://docs.google.com/spreadsheets/d/1SX6NBoVAgQJ6U1MVXOaj8PK2l7WJ3RER9xtqwdhxkhw/edit?usp=sharing"",""นครปฐม!J199"")"),0)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IFERROR(__xludf.DUMMYFUNCTION("IMPORTRANGE(""https://docs.google.com/spreadsheets/d/1SX6NBoVAgQJ6U1MVXOaj8PK2l7WJ3RER9xtqwdhxkhw/edit?usp=sharing"",""นครปฐม!J213"")"),0)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IFERROR(__xludf.DUMMYFUNCTION("IMPORTRANGE(""https://docs.google.com/spreadsheets/d/1SX6NBoVAgQJ6U1MVXOaj8PK2l7WJ3RER9xtqwdhxkhw/edit?usp=sharing"",""นครปฐม!I214"")"),0)</f>
        <v>0</v>
      </c>
      <c r="J309" s="333">
        <f ca="1">IFERROR(__xludf.DUMMYFUNCTION("IMPORTRANGE(""https://docs.google.com/spreadsheets/d/1SX6NBoVAgQJ6U1MVXOaj8PK2l7WJ3RER9xtqwdhxkhw/edit?usp=sharing"",""นครปฐม!J214"")"),0)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IFERROR(__xludf.DUMMYFUNCTION("IMPORTRANGE(""https://docs.google.com/spreadsheets/d/1SX6NBoVAgQJ6U1MVXOaj8PK2l7WJ3RER9xtqwdhxkhw/edit?usp=sharing"",""นครปฐม!J226"")"),0)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IFERROR(__xludf.DUMMYFUNCTION("IMPORTRANGE(""https://docs.google.com/spreadsheets/d/1SX6NBoVAgQJ6U1MVXOaj8PK2l7WJ3RER9xtqwdhxkhw/edit?usp=sharing"",""นครปฐม!I228"")"),0)</f>
        <v>0</v>
      </c>
      <c r="J328" s="339">
        <f ca="1">IFERROR(__xludf.DUMMYFUNCTION("IMPORTRANGE(""https://docs.google.com/spreadsheets/d/1SX6NBoVAgQJ6U1MVXOaj8PK2l7WJ3RER9xtqwdhxkhw/edit?usp=sharing"",""นครปฐม!J228"")"),0)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628660</v>
      </c>
      <c r="M329" s="152">
        <f t="shared" ca="1" si="98"/>
        <v>497110</v>
      </c>
      <c r="N329" s="152">
        <f t="shared" ca="1" si="98"/>
        <v>393170</v>
      </c>
      <c r="O329" s="151">
        <f t="shared" ref="O329:O331" ca="1" si="99">IF(L329&gt;0,N329*100/L329,0)</f>
        <v>62.540960137435178</v>
      </c>
      <c r="P329" s="151">
        <f t="shared" ref="P329:P331" ca="1" si="100">IF(M329&gt;0,N329*100/M329,0)</f>
        <v>79.091146828669707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628660</v>
      </c>
      <c r="M331" s="157">
        <f t="shared" ca="1" si="102"/>
        <v>497110</v>
      </c>
      <c r="N331" s="157">
        <f t="shared" ca="1" si="102"/>
        <v>393170</v>
      </c>
      <c r="O331" s="156">
        <f t="shared" ca="1" si="99"/>
        <v>62.540960137435178</v>
      </c>
      <c r="P331" s="156">
        <f t="shared" ca="1" si="100"/>
        <v>79.091146828669707</v>
      </c>
    </row>
    <row r="332" spans="1:16" ht="21.75" customHeight="1" x14ac:dyDescent="0.3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IFERROR(__xludf.DUMMYFUNCTION("IMPORTRANGE(""https://docs.google.com/spreadsheets/d/1Yj_ptqi66GCucihVvJfMjLAmec39IyEx_6qawtMGysU/edit?usp=sharing"",""สบก!DL66"")"),354560)</f>
        <v>354560</v>
      </c>
      <c r="N333" s="169">
        <f ca="1">IFERROR(__xludf.DUMMYFUNCTION("IMPORTRANGE(""https://docs.google.com/spreadsheets/d/1Yj_ptqi66GCucihVvJfMjLAmec39IyEx_6qawtMGysU/edit?usp=sharing"",""สบก!DM66"")"),250620)</f>
        <v>250620</v>
      </c>
      <c r="O333" s="169">
        <f ca="1">IF(L333&gt;0,N333*100/L333,0)</f>
        <v>51.556232128530581</v>
      </c>
      <c r="P333" s="169">
        <f ca="1">IF(M333&gt;0,N333*100/M333,0)</f>
        <v>70.68479241877256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IFERROR(__xludf.DUMMYFUNCTION("IMPORTRANGE(""https://docs.google.com/spreadsheets/d/1Yj_ptqi66GCucihVvJfMjLAmec39IyEx_6qawtMGysU/edit?usp=sharing"",""สบก!DJ66"")"),142550)</f>
        <v>142550</v>
      </c>
      <c r="M337" s="49">
        <f ca="1">L337</f>
        <v>142550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IFERROR(__xludf.DUMMYFUNCTION("IMPORTRANGE(""https://docs.google.com/spreadsheets/d/1SX6NBoVAgQJ6U1MVXOaj8PK2l7WJ3RER9xtqwdhxkhw/edit?usp=sharing"",""นครปฐม!L242"")"),359600)</f>
        <v>359600</v>
      </c>
      <c r="M347" s="358"/>
      <c r="N347" s="358">
        <f ca="1">IFERROR(__xludf.DUMMYFUNCTION("IMPORTRANGE(""https://docs.google.com/spreadsheets/d/1SX6NBoVAgQJ6U1MVXOaj8PK2l7WJ3RER9xtqwdhxkhw/edit?usp=sharing"",""นครปฐม!M242"")"),218610.72)</f>
        <v>218610.72</v>
      </c>
      <c r="O347" s="358">
        <f ca="1">+IF(L347&gt;0,N347*100/L347,0)</f>
        <v>60.792747497219132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IFERROR(__xludf.DUMMYFUNCTION("IMPORTRANGE(""https://docs.google.com/spreadsheets/d/1SX6NBoVAgQJ6U1MVXOaj8PK2l7WJ3RER9xtqwdhxkhw/edit?usp=sharing"",""นครปฐม!M296"")"),89333)</f>
        <v>89333</v>
      </c>
      <c r="O401" s="373">
        <f ca="1">+IF(L401&gt;0,N401*100/L401,0)</f>
        <v>68.585796545105566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IFERROR(__xludf.DUMMYFUNCTION("IMPORTRANGE(""https://docs.google.com/spreadsheets/d/1SX6NBoVAgQJ6U1MVXOaj8PK2l7WJ3RER9xtqwdhxkhw/edit?usp=sharing"",""นครปฐม!M299"")"),89333)</f>
        <v>89333</v>
      </c>
      <c r="O404" s="169">
        <f t="shared" ca="1" si="112"/>
        <v>68.585796545105566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IFERROR(__xludf.DUMMYFUNCTION("IMPORTRANGE(""https://docs.google.com/spreadsheets/d/1SX6NBoVAgQJ6U1MVXOaj8PK2l7WJ3RER9xtqwdhxkhw/edit?usp=sharing"",""นครปฐม!M301"")"),89333)</f>
        <v>89333</v>
      </c>
      <c r="O406" s="169">
        <f t="shared" ca="1" si="112"/>
        <v>68.585796545105566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IFERROR(__xludf.DUMMYFUNCTION("IMPORTRANGE(""https://docs.google.com/spreadsheets/d/1SX6NBoVAgQJ6U1MVXOaj8PK2l7WJ3RER9xtqwdhxkhw/edit?usp=sharing"",""นครปฐม!M305"")"),14783)</f>
        <v>14783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IFERROR(__xludf.DUMMYFUNCTION("IMPORTRANGE(""https://docs.google.com/spreadsheets/d/1SX6NBoVAgQJ6U1MVXOaj8PK2l7WJ3RER9xtqwdhxkhw/edit?usp=sharing"",""นครปฐม!J329"")"),0)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IFERROR(__xludf.DUMMYFUNCTION("IMPORTRANGE(""https://docs.google.com/spreadsheets/d/1SX6NBoVAgQJ6U1MVXOaj8PK2l7WJ3RER9xtqwdhxkhw/edit?usp=sharing"",""นครปฐม!L330"")"),76000)</f>
        <v>76000</v>
      </c>
      <c r="M435" s="412"/>
      <c r="N435" s="412">
        <f ca="1">IFERROR(__xludf.DUMMYFUNCTION("IMPORTRANGE(""https://docs.google.com/spreadsheets/d/1SX6NBoVAgQJ6U1MVXOaj8PK2l7WJ3RER9xtqwdhxkhw/edit?usp=sharing"",""นครปฐม!M330"")"),40381)</f>
        <v>40381</v>
      </c>
      <c r="O435" s="412">
        <f t="shared" ref="O435:O439" ca="1" si="114">+IF(L435&gt;0,N435*100/L435,0)</f>
        <v>53.132894736842104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IFERROR(__xludf.DUMMYFUNCTION("IMPORTRANGE(""https://docs.google.com/spreadsheets/d/1SX6NBoVAgQJ6U1MVXOaj8PK2l7WJ3RER9xtqwdhxkhw/edit?usp=sharing"",""นครปฐม!L332"")"),76000)</f>
        <v>76000</v>
      </c>
      <c r="M437" s="165"/>
      <c r="N437" s="169">
        <f ca="1">IFERROR(__xludf.DUMMYFUNCTION("IMPORTRANGE(""https://docs.google.com/spreadsheets/d/1SX6NBoVAgQJ6U1MVXOaj8PK2l7WJ3RER9xtqwdhxkhw/edit?usp=sharing"",""นครปฐม!M332"")"),40381)</f>
        <v>40381</v>
      </c>
      <c r="O437" s="169">
        <f t="shared" ca="1" si="114"/>
        <v>53.132894736842104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IFERROR(__xludf.DUMMYFUNCTION("IMPORTRANGE(""https://docs.google.com/spreadsheets/d/1SX6NBoVAgQJ6U1MVXOaj8PK2l7WJ3RER9xtqwdhxkhw/edit?usp=sharing"",""นครปฐม!L334"")"),76000)</f>
        <v>76000</v>
      </c>
      <c r="M439" s="169"/>
      <c r="N439" s="169">
        <f ca="1">IFERROR(__xludf.DUMMYFUNCTION("IMPORTRANGE(""https://docs.google.com/spreadsheets/d/1SX6NBoVAgQJ6U1MVXOaj8PK2l7WJ3RER9xtqwdhxkhw/edit?usp=sharing"",""นครปฐม!M334"")"),40381)</f>
        <v>40381</v>
      </c>
      <c r="O439" s="169">
        <f t="shared" ca="1" si="114"/>
        <v>53.132894736842104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IFERROR(__xludf.DUMMYFUNCTION("IMPORTRANGE(""https://docs.google.com/spreadsheets/d/1SX6NBoVAgQJ6U1MVXOaj8PK2l7WJ3RER9xtqwdhxkhw/edit?usp=sharing"",""นครปฐม!M335"")"),15580)</f>
        <v>15580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IFERROR(__xludf.DUMMYFUNCTION("IMPORTRANGE(""https://docs.google.com/spreadsheets/d/1SX6NBoVAgQJ6U1MVXOaj8PK2l7WJ3RER9xtqwdhxkhw/edit?usp=sharing"",""นครปฐม!M338"")"),24801)</f>
        <v>24801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IFERROR(__xludf.DUMMYFUNCTION("IMPORTRANGE(""https://docs.google.com/spreadsheets/d/1SX6NBoVAgQJ6U1MVXOaj8PK2l7WJ3RER9xtqwdhxkhw/edit?usp=sharing"",""นครปฐม!I359"")"),0)</f>
        <v>0</v>
      </c>
      <c r="J464" s="267">
        <f ca="1">IFERROR(__xludf.DUMMYFUNCTION("IMPORTRANGE(""https://docs.google.com/spreadsheets/d/1SX6NBoVAgQJ6U1MVXOaj8PK2l7WJ3RER9xtqwdhxkhw/edit?usp=sharing"",""นครปฐม!J359"")"),0)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IFERROR(__xludf.DUMMYFUNCTION("IMPORTRANGE(""https://docs.google.com/spreadsheets/d/1SX6NBoVAgQJ6U1MVXOaj8PK2l7WJ3RER9xtqwdhxkhw/edit?usp=sharing"",""นครปฐม!I411"")"),0)</f>
        <v>0</v>
      </c>
      <c r="J516" s="267">
        <f ca="1">IFERROR(__xludf.DUMMYFUNCTION("IMPORTRANGE(""https://docs.google.com/spreadsheets/d/1SX6NBoVAgQJ6U1MVXOaj8PK2l7WJ3RER9xtqwdhxkhw/edit?usp=sharing"",""นครปฐม!J411"")"),0)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IFERROR(__xludf.DUMMYFUNCTION("IMPORTRANGE(""https://docs.google.com/spreadsheets/d/1SX6NBoVAgQJ6U1MVXOaj8PK2l7WJ3RER9xtqwdhxkhw/edit?usp=sharing"",""นครปฐม!I412"")"),0)</f>
        <v>0</v>
      </c>
      <c r="J517" s="284">
        <f ca="1">IFERROR(__xludf.DUMMYFUNCTION("IMPORTRANGE(""https://docs.google.com/spreadsheets/d/1SX6NBoVAgQJ6U1MVXOaj8PK2l7WJ3RER9xtqwdhxkhw/edit?usp=sharing"",""นครปฐม!J412"")"),0)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IFERROR(__xludf.DUMMYFUNCTION("IMPORTRANGE(""https://docs.google.com/spreadsheets/d/1SX6NBoVAgQJ6U1MVXOaj8PK2l7WJ3RER9xtqwdhxkhw/edit?usp=sharing"",""นครปฐม!I413"")"),0)</f>
        <v>0</v>
      </c>
      <c r="J518" s="284">
        <f ca="1">IFERROR(__xludf.DUMMYFUNCTION("IMPORTRANGE(""https://docs.google.com/spreadsheets/d/1SX6NBoVAgQJ6U1MVXOaj8PK2l7WJ3RER9xtqwdhxkhw/edit?usp=sharing"",""นครปฐม!J413"")"),0)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IFERROR(__xludf.DUMMYFUNCTION("IMPORTRANGE(""https://docs.google.com/spreadsheets/d/1SX6NBoVAgQJ6U1MVXOaj8PK2l7WJ3RER9xtqwdhxkhw/edit?usp=sharing"",""นครปฐม!I420"")"),0)</f>
        <v>0</v>
      </c>
      <c r="J525" s="284">
        <f ca="1">IFERROR(__xludf.DUMMYFUNCTION("IMPORTRANGE(""https://docs.google.com/spreadsheets/d/1SX6NBoVAgQJ6U1MVXOaj8PK2l7WJ3RER9xtqwdhxkhw/edit?usp=sharing"",""นครปฐม!J420"")"),0)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IFERROR(__xludf.DUMMYFUNCTION("IMPORTRANGE(""https://docs.google.com/spreadsheets/d/1SX6NBoVAgQJ6U1MVXOaj8PK2l7WJ3RER9xtqwdhxkhw/edit?usp=sharing"",""นครปฐม!I421"")"),0)</f>
        <v>0</v>
      </c>
      <c r="J526" s="284">
        <f ca="1">IFERROR(__xludf.DUMMYFUNCTION("IMPORTRANGE(""https://docs.google.com/spreadsheets/d/1SX6NBoVAgQJ6U1MVXOaj8PK2l7WJ3RER9xtqwdhxkhw/edit?usp=sharing"",""นครปฐม!J421"")"),0)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IFERROR(__xludf.DUMMYFUNCTION("IMPORTRANGE(""https://docs.google.com/spreadsheets/d/1SX6NBoVAgQJ6U1MVXOaj8PK2l7WJ3RER9xtqwdhxkhw/edit?usp=sharing"",""นครปฐม!M428"")"),28080)</f>
        <v>28080</v>
      </c>
      <c r="O533" s="412">
        <f t="shared" ref="O533:O537" ca="1" si="118">+IF(L533&gt;0,N533*100/L533,0)</f>
        <v>86.029411764705884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IFERROR(__xludf.DUMMYFUNCTION("IMPORTRANGE(""https://docs.google.com/spreadsheets/d/1SX6NBoVAgQJ6U1MVXOaj8PK2l7WJ3RER9xtqwdhxkhw/edit?usp=sharing"",""นครปฐม!M430"")"),28080)</f>
        <v>28080</v>
      </c>
      <c r="O535" s="169">
        <f t="shared" ca="1" si="118"/>
        <v>86.029411764705884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IFERROR(__xludf.DUMMYFUNCTION("IMPORTRANGE(""https://docs.google.com/spreadsheets/d/1SX6NBoVAgQJ6U1MVXOaj8PK2l7WJ3RER9xtqwdhxkhw/edit?usp=sharing"",""นครปฐม!M432"")"),28080)</f>
        <v>28080</v>
      </c>
      <c r="O537" s="169">
        <f t="shared" ca="1" si="118"/>
        <v>86.029411764705884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IFERROR(__xludf.DUMMYFUNCTION("IMPORTRANGE(""https://docs.google.com/spreadsheets/d/1SX6NBoVAgQJ6U1MVXOaj8PK2l7WJ3RER9xtqwdhxkhw/edit?usp=sharing"",""นครปฐม!M436"")"),11040)</f>
        <v>11040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IFERROR(__xludf.DUMMYFUNCTION("IMPORTRANGE(""https://docs.google.com/spreadsheets/d/1SX6NBoVAgQJ6U1MVXOaj8PK2l7WJ3RER9xtqwdhxkhw/edit?usp=sharing"",""นครปฐม!J459"")"),95)</f>
        <v>95</v>
      </c>
      <c r="K564" s="372">
        <f ca="1">IF(I564&gt;0,J564*100/I564,0)</f>
        <v>95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IFERROR(__xludf.DUMMYFUNCTION("IMPORTRANGE(""https://docs.google.com/spreadsheets/d/1SX6NBoVAgQJ6U1MVXOaj8PK2l7WJ3RER9xtqwdhxkhw/edit?usp=sharing"",""นครปฐม!M459"")"),60416.72)</f>
        <v>60416.72</v>
      </c>
      <c r="O564" s="373">
        <f t="shared" ref="O564:O568" ca="1" si="122">+IF(L564&gt;0,N564*100/L564,0)</f>
        <v>52.011639118457303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IFERROR(__xludf.DUMMYFUNCTION("IMPORTRANGE(""https://docs.google.com/spreadsheets/d/1SX6NBoVAgQJ6U1MVXOaj8PK2l7WJ3RER9xtqwdhxkhw/edit?usp=sharing"",""นครปฐม!M461"")"),60416.72)</f>
        <v>60416.72</v>
      </c>
      <c r="O566" s="169">
        <f t="shared" ca="1" si="122"/>
        <v>52.011639118457303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IFERROR(__xludf.DUMMYFUNCTION("IMPORTRANGE(""https://docs.google.com/spreadsheets/d/1SX6NBoVAgQJ6U1MVXOaj8PK2l7WJ3RER9xtqwdhxkhw/edit?usp=sharing"",""นครปฐม!M463"")"),60416.72)</f>
        <v>60416.72</v>
      </c>
      <c r="O568" s="169">
        <f t="shared" ca="1" si="122"/>
        <v>52.011639118457303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IFERROR(__xludf.DUMMYFUNCTION("IMPORTRANGE(""https://docs.google.com/spreadsheets/d/1SX6NBoVAgQJ6U1MVXOaj8PK2l7WJ3RER9xtqwdhxkhw/edit?usp=sharing"",""นครปฐม!M466"")"),52066.72)</f>
        <v>52066.720000000001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IFERROR(__xludf.DUMMYFUNCTION("IMPORTRANGE(""https://docs.google.com/spreadsheets/d/1SX6NBoVAgQJ6U1MVXOaj8PK2l7WJ3RER9xtqwdhxkhw/edit?usp=sharing"",""นครปฐม!M467"")"),8350)</f>
        <v>8350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IFERROR(__xludf.DUMMYFUNCTION("IMPORTRANGE(""https://docs.google.com/spreadsheets/d/1SX6NBoVAgQJ6U1MVXOaj8PK2l7WJ3RER9xtqwdhxkhw/edit?usp=sharing"",""นครปฐม!J468"")"),95)</f>
        <v>95</v>
      </c>
      <c r="K573" s="202">
        <f ca="1">IF(I573&gt;0,J573*100/I573,0)</f>
        <v>95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IFERROR(__xludf.DUMMYFUNCTION("IMPORTRANGE(""https://docs.google.com/spreadsheets/d/1SX6NBoVAgQJ6U1MVXOaj8PK2l7WJ3RER9xtqwdhxkhw/edit?usp=sharing"",""นครปฐม!J471"")"),17)</f>
        <v>17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IFERROR(__xludf.DUMMYFUNCTION("IMPORTRANGE(""https://docs.google.com/spreadsheets/d/1SX6NBoVAgQJ6U1MVXOaj8PK2l7WJ3RER9xtqwdhxkhw/edit?usp=sharing"",""นครปฐม!J472"")"),70)</f>
        <v>70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IFERROR(__xludf.DUMMYFUNCTION("IMPORTRANGE(""https://docs.google.com/spreadsheets/d/1SX6NBoVAgQJ6U1MVXOaj8PK2l7WJ3RER9xtqwdhxkhw/edit?usp=sharing"",""นครปฐม!J473"")"),7)</f>
        <v>7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IFERROR(__xludf.DUMMYFUNCTION("IMPORTRANGE(""https://docs.google.com/spreadsheets/d/1SX6NBoVAgQJ6U1MVXOaj8PK2l7WJ3RER9xtqwdhxkhw/edit?usp=sharing"",""นครปฐม!I491"")"),0)</f>
        <v>0</v>
      </c>
      <c r="J596" s="241">
        <f ca="1">IFERROR(__xludf.DUMMYFUNCTION("IMPORTRANGE(""https://docs.google.com/spreadsheets/d/1SX6NBoVAgQJ6U1MVXOaj8PK2l7WJ3RER9xtqwdhxkhw/edit?usp=sharing"",""นครปฐม!J491"")"),0)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7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IFERROR(__xludf.DUMMYFUNCTION("IMPORTRANGE(""https://docs.google.com/spreadsheets/d/1SX6NBoVAgQJ6U1MVXOaj8PK2l7WJ3RER9xtqwdhxkhw/edit?usp=sharing"",""นครปฐม!L494"")"),4550)</f>
        <v>4550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8.791208791208792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IFERROR(__xludf.DUMMYFUNCTION("IMPORTRANGE(""https://docs.google.com/spreadsheets/d/1SX6NBoVAgQJ6U1MVXOaj8PK2l7WJ3RER9xtqwdhxkhw/edit?usp=sharing"",""นครปฐม!L496"")"),4550)</f>
        <v>4550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8.791208791208792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IFERROR(__xludf.DUMMYFUNCTION("IMPORTRANGE(""https://docs.google.com/spreadsheets/d/1SX6NBoVAgQJ6U1MVXOaj8PK2l7WJ3RER9xtqwdhxkhw/edit?usp=sharing"",""นครปฐม!I523"")"),3160000)</f>
        <v>3160000</v>
      </c>
      <c r="J628" s="341">
        <f ca="1">IFERROR(__xludf.DUMMYFUNCTION("IMPORTRANGE(""https://docs.google.com/spreadsheets/d/1SX6NBoVAgQJ6U1MVXOaj8PK2l7WJ3RER9xtqwdhxkhw/edit?usp=sharing"",""นครปฐม!J523"")"),448000)</f>
        <v>448000</v>
      </c>
      <c r="K628" s="342">
        <f t="shared" ref="K628:K635" ca="1" si="129">IF(I628&gt;0,J628*100/I628,0)</f>
        <v>14.177215189873417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IFERROR(__xludf.DUMMYFUNCTION("IMPORTRANGE(""https://docs.google.com/spreadsheets/d/1SX6NBoVAgQJ6U1MVXOaj8PK2l7WJ3RER9xtqwdhxkhw/edit?usp=sharing"",""นครปฐม!I524"")"),70)</f>
        <v>70</v>
      </c>
      <c r="J629" s="341">
        <f ca="1">IFERROR(__xludf.DUMMYFUNCTION("IMPORTRANGE(""https://docs.google.com/spreadsheets/d/1SX6NBoVAgQJ6U1MVXOaj8PK2l7WJ3RER9xtqwdhxkhw/edit?usp=sharing"",""นครปฐม!J524"")"),11)</f>
        <v>11</v>
      </c>
      <c r="K629" s="342">
        <f t="shared" ca="1" si="129"/>
        <v>15.714285714285714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1">
        <f ca="1">IFERROR(__xludf.DUMMYFUNCTION("IMPORTRANGE(""https://docs.google.com/spreadsheets/d/1SX6NBoVAgQJ6U1MVXOaj8PK2l7WJ3RER9xtqwdhxkhw/edit?usp=sharing"",""นครปฐม!J525"")"),432966.25)</f>
        <v>432966.25</v>
      </c>
      <c r="K630" s="342">
        <f t="shared" ca="1" si="129"/>
        <v>33.959618693326846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IFERROR(__xludf.DUMMYFUNCTION("IMPORTRANGE(""https://docs.google.com/spreadsheets/d/1SX6NBoVAgQJ6U1MVXOaj8PK2l7WJ3RER9xtqwdhxkhw/edit?usp=sharing"",""นครปฐม!I526"")"),31)</f>
        <v>31</v>
      </c>
      <c r="J631" s="341">
        <f ca="1">IFERROR(__xludf.DUMMYFUNCTION("IMPORTRANGE(""https://docs.google.com/spreadsheets/d/1SX6NBoVAgQJ6U1MVXOaj8PK2l7WJ3RER9xtqwdhxkhw/edit?usp=sharing"",""นครปฐม!J526"")"),30)</f>
        <v>30</v>
      </c>
      <c r="K631" s="342">
        <f t="shared" ca="1" si="129"/>
        <v>96.774193548387103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IFERROR(__xludf.DUMMYFUNCTION("IMPORTRANGE(""https://docs.google.com/spreadsheets/d/1SX6NBoVAgQJ6U1MVXOaj8PK2l7WJ3RER9xtqwdhxkhw/edit?usp=sharing"",""นครปฐม!I527"")"),527836.61)</f>
        <v>527836.61</v>
      </c>
      <c r="J632" s="341">
        <f ca="1">IFERROR(__xludf.DUMMYFUNCTION("IMPORTRANGE(""https://docs.google.com/spreadsheets/d/1SX6NBoVAgQJ6U1MVXOaj8PK2l7WJ3RER9xtqwdhxkhw/edit?usp=sharing"",""นครปฐม!J527"")"),27049.13)</f>
        <v>27049.13</v>
      </c>
      <c r="K632" s="342">
        <f t="shared" ca="1" si="129"/>
        <v>5.1245270766648794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IFERROR(__xludf.DUMMYFUNCTION("IMPORTRANGE(""https://docs.google.com/spreadsheets/d/1SX6NBoVAgQJ6U1MVXOaj8PK2l7WJ3RER9xtqwdhxkhw/edit?usp=sharing"",""นครปฐม!I528"")"),262)</f>
        <v>262</v>
      </c>
      <c r="J633" s="341">
        <f ca="1">IFERROR(__xludf.DUMMYFUNCTION("IMPORTRANGE(""https://docs.google.com/spreadsheets/d/1SX6NBoVAgQJ6U1MVXOaj8PK2l7WJ3RER9xtqwdhxkhw/edit?usp=sharing"",""นครปฐม!J528"")"),8)</f>
        <v>8</v>
      </c>
      <c r="K633" s="342">
        <f t="shared" ca="1" si="129"/>
        <v>3.053435114503817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IFERROR(__xludf.DUMMYFUNCTION("IMPORTRANGE(""https://docs.google.com/spreadsheets/d/1SX6NBoVAgQJ6U1MVXOaj8PK2l7WJ3RER9xtqwdhxkhw/edit?usp=sharing"",""นครปฐม!I529"")"),4410000)</f>
        <v>4410000</v>
      </c>
      <c r="J634" s="341">
        <f ca="1">IFERROR(__xludf.DUMMYFUNCTION("IMPORTRANGE(""https://docs.google.com/spreadsheets/d/1SX6NBoVAgQJ6U1MVXOaj8PK2l7WJ3RER9xtqwdhxkhw/edit?usp=sharing"",""นครปฐม!J529"")"),240000)</f>
        <v>240000</v>
      </c>
      <c r="K634" s="342">
        <f t="shared" ca="1" si="129"/>
        <v>5.4421768707482991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IFERROR(__xludf.DUMMYFUNCTION("IMPORTRANGE(""https://docs.google.com/spreadsheets/d/1SX6NBoVAgQJ6U1MVXOaj8PK2l7WJ3RER9xtqwdhxkhw/edit?usp=sharing"",""นครปฐม!I530"")"),94)</f>
        <v>94</v>
      </c>
      <c r="J635" s="504">
        <f ca="1">IFERROR(__xludf.DUMMYFUNCTION("IMPORTRANGE(""https://docs.google.com/spreadsheets/d/1SX6NBoVAgQJ6U1MVXOaj8PK2l7WJ3RER9xtqwdhxkhw/edit?usp=sharing"",""นครปฐม!J530"")"),6)</f>
        <v>6</v>
      </c>
      <c r="K635" s="486">
        <f t="shared" ca="1" si="129"/>
        <v>6.3829787234042552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IFERROR(__xludf.DUMMYFUNCTION("IMPORTRANGE(""https://docs.google.com/spreadsheets/d/1SX6NBoVAgQJ6U1MVXOaj8PK2l7WJ3RER9xtqwdhxkhw/edit#gid=346597447"",""นครปฐม!J541"")"),0)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IFERROR(__xludf.DUMMYFUNCTION("IMPORTRANGE(""https://docs.google.com/spreadsheets/d/1SX6NBoVAgQJ6U1MVXOaj8PK2l7WJ3RER9xtqwdhxkhw/edit#gid=346597447"",""นครปฐม!J542"")"),0)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IFERROR(__xludf.DUMMYFUNCTION("IMPORTRANGE(""https://docs.google.com/spreadsheets/d/1SX6NBoVAgQJ6U1MVXOaj8PK2l7WJ3RER9xtqwdhxkhw/edit#gid=346597447"",""นครปฐม!I543"")"),0)</f>
        <v>0</v>
      </c>
      <c r="J648" s="536">
        <f ca="1">IFERROR(__xludf.DUMMYFUNCTION("IMPORTRANGE(""https://docs.google.com/spreadsheets/d/1SX6NBoVAgQJ6U1MVXOaj8PK2l7WJ3RER9xtqwdhxkhw/edit#gid=346597447"",""นครปฐม!J543"")"),0)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IFERROR(__xludf.DUMMYFUNCTION("IMPORTRANGE(""https://docs.google.com/spreadsheets/d/1SX6NBoVAgQJ6U1MVXOaj8PK2l7WJ3RER9xtqwdhxkhw/edit#gid=346597447"",""นครปฐม!L543"")"),0)</f>
        <v>0</v>
      </c>
      <c r="M648" s="521"/>
      <c r="N648" s="538">
        <f ca="1">IFERROR(__xludf.DUMMYFUNCTION("IMPORTRANGE(""https://docs.google.com/spreadsheets/d/1SX6NBoVAgQJ6U1MVXOaj8PK2l7WJ3RER9xtqwdhxkhw/edit#gid=346597447"",""นครปฐม!M543"")"),0)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IFERROR(__xludf.DUMMYFUNCTION("IMPORTRANGE(""https://docs.google.com/spreadsheets/d/1SX6NBoVAgQJ6U1MVXOaj8PK2l7WJ3RER9xtqwdhxkhw/edit#gid=346597447"",""นครปฐม!I544"")"),0)</f>
        <v>0</v>
      </c>
      <c r="J649" s="536">
        <f ca="1">IFERROR(__xludf.DUMMYFUNCTION("IMPORTRANGE(""https://docs.google.com/spreadsheets/d/1SX6NBoVAgQJ6U1MVXOaj8PK2l7WJ3RER9xtqwdhxkhw/edit#gid=346597447"",""นครปฐม!J544"")"),1)</f>
        <v>1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IFERROR(__xludf.DUMMYFUNCTION("IMPORTRANGE(""https://docs.google.com/spreadsheets/d/1SX6NBoVAgQJ6U1MVXOaj8PK2l7WJ3RER9xtqwdhxkhw/edit#gid=346597447"",""นครปฐม!L544"")"),0)</f>
        <v>0</v>
      </c>
      <c r="M649" s="521"/>
      <c r="N649" s="538">
        <f ca="1">IFERROR(__xludf.DUMMYFUNCTION("IMPORTRANGE(""https://docs.google.com/spreadsheets/d/1SX6NBoVAgQJ6U1MVXOaj8PK2l7WJ3RER9xtqwdhxkhw/edit#gid=346597447"",""นครปฐม!M544"")"),0)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IFERROR(__xludf.DUMMYFUNCTION("IMPORTRANGE(""https://docs.google.com/spreadsheets/d/1SX6NBoVAgQJ6U1MVXOaj8PK2l7WJ3RER9xtqwdhxkhw/edit#gid=346597447"",""นครปฐม!I545"")"),0)</f>
        <v>0</v>
      </c>
      <c r="J650" s="536">
        <f ca="1">IFERROR(__xludf.DUMMYFUNCTION("IMPORTRANGE(""https://docs.google.com/spreadsheets/d/1SX6NBoVAgQJ6U1MVXOaj8PK2l7WJ3RER9xtqwdhxkhw/edit#gid=346597447"",""นครปฐม!J545"")"),0)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IFERROR(__xludf.DUMMYFUNCTION("IMPORTRANGE(""https://docs.google.com/spreadsheets/d/1SX6NBoVAgQJ6U1MVXOaj8PK2l7WJ3RER9xtqwdhxkhw/edit#gid=346597447"",""นครปฐม!L545"")"),0)</f>
        <v>0</v>
      </c>
      <c r="M650" s="521"/>
      <c r="N650" s="538">
        <f ca="1">IFERROR(__xludf.DUMMYFUNCTION("IMPORTRANGE(""https://docs.google.com/spreadsheets/d/1SX6NBoVAgQJ6U1MVXOaj8PK2l7WJ3RER9xtqwdhxkhw/edit#gid=346597447"",""นครปฐม!M545"")"),0)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IFERROR(__xludf.DUMMYFUNCTION("IMPORTRANGE(""https://docs.google.com/spreadsheets/d/1SX6NBoVAgQJ6U1MVXOaj8PK2l7WJ3RER9xtqwdhxkhw/edit#gid=346597447"",""นครปฐม!I546"")"),0)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IFERROR(__xludf.DUMMYFUNCTION("IMPORTRANGE(""https://docs.google.com/spreadsheets/d/1SX6NBoVAgQJ6U1MVXOaj8PK2l7WJ3RER9xtqwdhxkhw/edit#gid=346597447"",""นครปฐม!L546"")"),0)</f>
        <v>0</v>
      </c>
      <c r="M651" s="521"/>
      <c r="N651" s="538">
        <f ca="1">IFERROR(__xludf.DUMMYFUNCTION("IMPORTRANGE(""https://docs.google.com/spreadsheets/d/1SX6NBoVAgQJ6U1MVXOaj8PK2l7WJ3RER9xtqwdhxkhw/edit#gid=346597447"",""นครปฐม!M546"")"),0)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IFERROR(__xludf.DUMMYFUNCTION("IMPORTRANGE(""https://docs.google.com/spreadsheets/d/1SX6NBoVAgQJ6U1MVXOaj8PK2l7WJ3RER9xtqwdhxkhw/edit#gid=346597447"",""นครปฐม!J547"")"),0)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IFERROR(__xludf.DUMMYFUNCTION("IMPORTRANGE(""https://docs.google.com/spreadsheets/d/1SX6NBoVAgQJ6U1MVXOaj8PK2l7WJ3RER9xtqwdhxkhw/edit#gid=346597447"",""นครปฐม!J548"")"),0)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IFERROR(__xludf.DUMMYFUNCTION("IMPORTRANGE(""https://docs.google.com/spreadsheets/d/1SX6NBoVAgQJ6U1MVXOaj8PK2l7WJ3RER9xtqwdhxkhw/edit#gid=346597447"",""นครปฐม!J550"")"),0)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IFERROR(__xludf.DUMMYFUNCTION("IMPORTRANGE(""https://docs.google.com/spreadsheets/d/1SX6NBoVAgQJ6U1MVXOaj8PK2l7WJ3RER9xtqwdhxkhw/edit#gid=346597447"",""นครปฐม!J551"")"),0)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IFERROR(__xludf.DUMMYFUNCTION("IMPORTRANGE(""https://docs.google.com/spreadsheets/d/1SX6NBoVAgQJ6U1MVXOaj8PK2l7WJ3RER9xtqwdhxkhw/edit#gid=346597447"",""นครปฐม!J552"")"),0)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IFERROR(__xludf.DUMMYFUNCTION("IMPORTRANGE(""https://docs.google.com/spreadsheets/d/1SX6NBoVAgQJ6U1MVXOaj8PK2l7WJ3RER9xtqwdhxkhw/edit#gid=346597447"",""นครปฐม!J553"")"),0)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IFERROR(__xludf.DUMMYFUNCTION("IMPORTRANGE(""https://docs.google.com/spreadsheets/d/1SX6NBoVAgQJ6U1MVXOaj8PK2l7WJ3RER9xtqwdhxkhw/edit#gid=346597447"",""นครปฐม!J554"")"),0)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IFERROR(__xludf.DUMMYFUNCTION("IMPORTRANGE(""https://docs.google.com/spreadsheets/d/1SX6NBoVAgQJ6U1MVXOaj8PK2l7WJ3RER9xtqwdhxkhw/edit#gid=346597447"",""นครปฐม!J555"")"),0)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IFERROR(__xludf.DUMMYFUNCTION("IMPORTRANGE(""https://docs.google.com/spreadsheets/d/1SX6NBoVAgQJ6U1MVXOaj8PK2l7WJ3RER9xtqwdhxkhw/edit#gid=346597447"",""นครปฐม!J556"")"),0)</f>
        <v>0</v>
      </c>
      <c r="K661" s="537"/>
      <c r="L661" s="522">
        <f ca="1">IFERROR(__xludf.DUMMYFUNCTION("IMPORTRANGE(""https://docs.google.com/spreadsheets/d/1SX6NBoVAgQJ6U1MVXOaj8PK2l7WJ3RER9xtqwdhxkhw/edit#gid=346597447"",""นครปฐม!L556"")"),2040)</f>
        <v>2040</v>
      </c>
      <c r="M661" s="521"/>
      <c r="N661" s="538">
        <f ca="1">IFERROR(__xludf.DUMMYFUNCTION("IMPORTRANGE(""https://docs.google.com/spreadsheets/d/1SX6NBoVAgQJ6U1MVXOaj8PK2l7WJ3RER9xtqwdhxkhw/edit#gid=346597447"",""นครปฐม!M556"")"),0)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IFERROR(__xludf.DUMMYFUNCTION("IMPORTRANGE(""https://docs.google.com/spreadsheets/d/1SX6NBoVAgQJ6U1MVXOaj8PK2l7WJ3RER9xtqwdhxkhw/edit#gid=346597447"",""นครปฐม!J557"")"),0)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IFERROR(__xludf.DUMMYFUNCTION("IMPORTRANGE(""https://docs.google.com/spreadsheets/d/1SX6NBoVAgQJ6U1MVXOaj8PK2l7WJ3RER9xtqwdhxkhw/edit#gid=346597447"",""นครปฐม!I558"")"),51)</f>
        <v>51</v>
      </c>
      <c r="J663" s="536">
        <f ca="1">IFERROR(__xludf.DUMMYFUNCTION("IMPORTRANGE(""https://docs.google.com/spreadsheets/d/1SX6NBoVAgQJ6U1MVXOaj8PK2l7WJ3RER9xtqwdhxkhw/edit#gid=346597447"",""นครปฐม!J558"")"),0)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IFERROR(__xludf.DUMMYFUNCTION("IMPORTRANGE(""https://docs.google.com/spreadsheets/d/1SX6NBoVAgQJ6U1MVXOaj8PK2l7WJ3RER9xtqwdhxkhw/edit#gid=346597447"",""นครปฐม!I560"")"),1)</f>
        <v>1</v>
      </c>
      <c r="J665" s="536">
        <f ca="1">IFERROR(__xludf.DUMMYFUNCTION("IMPORTRANGE(""https://docs.google.com/spreadsheets/d/1SX6NBoVAgQJ6U1MVXOaj8PK2l7WJ3RER9xtqwdhxkhw/edit#gid=346597447"",""นครปฐม!J560"")"),2)</f>
        <v>2</v>
      </c>
      <c r="K665" s="537">
        <f ca="1">IF(I665&gt;0,J665*100/I665,0)</f>
        <v>200</v>
      </c>
      <c r="L665" s="522">
        <f ca="1">IFERROR(__xludf.DUMMYFUNCTION("IMPORTRANGE(""https://docs.google.com/spreadsheets/d/1SX6NBoVAgQJ6U1MVXOaj8PK2l7WJ3RER9xtqwdhxkhw/edit#gid=346597447"",""นครปฐม!L560"")"),120)</f>
        <v>120</v>
      </c>
      <c r="M665" s="521"/>
      <c r="N665" s="538">
        <f ca="1">IFERROR(__xludf.DUMMYFUNCTION("IMPORTRANGE(""https://docs.google.com/spreadsheets/d/1SX6NBoVAgQJ6U1MVXOaj8PK2l7WJ3RER9xtqwdhxkhw/edit#gid=346597447"",""นครปฐม!M560"")"),0)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IFERROR(__xludf.DUMMYFUNCTION("IMPORTRANGE(""https://docs.google.com/spreadsheets/d/1SX6NBoVAgQJ6U1MVXOaj8PK2l7WJ3RER9xtqwdhxkhw/edit#gid=346597447"",""นครปฐม!J561"")"),2)</f>
        <v>2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IFERROR(__xludf.DUMMYFUNCTION("IMPORTRANGE(""https://docs.google.com/spreadsheets/d/1SX6NBoVAgQJ6U1MVXOaj8PK2l7WJ3RER9xtqwdhxkhw/edit#gid=346597447"",""นครปฐม!J562"")"),14.13)</f>
        <v>14.13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IFERROR(__xludf.DUMMYFUNCTION("IMPORTRANGE(""https://docs.google.com/spreadsheets/d/1SX6NBoVAgQJ6U1MVXOaj8PK2l7WJ3RER9xtqwdhxkhw/edit#gid=346597447"",""นครปฐม!I563"")"),1)</f>
        <v>1</v>
      </c>
      <c r="J668" s="536">
        <f ca="1">IFERROR(__xludf.DUMMYFUNCTION("IMPORTRANGE(""https://docs.google.com/spreadsheets/d/1SX6NBoVAgQJ6U1MVXOaj8PK2l7WJ3RER9xtqwdhxkhw/edit#gid=346597447"",""นครปฐม!J563"")"),4)</f>
        <v>4</v>
      </c>
      <c r="K668" s="537">
        <f ca="1">IF(I668&gt;0,J668*100/I668,0)</f>
        <v>400</v>
      </c>
      <c r="L668" s="522">
        <f ca="1">IFERROR(__xludf.DUMMYFUNCTION("IMPORTRANGE(""https://docs.google.com/spreadsheets/d/1SX6NBoVAgQJ6U1MVXOaj8PK2l7WJ3RER9xtqwdhxkhw/edit#gid=346597447"",""นครปฐม!L563"")"),1720)</f>
        <v>1720</v>
      </c>
      <c r="M668" s="521"/>
      <c r="N668" s="538">
        <f ca="1">IFERROR(__xludf.DUMMYFUNCTION("IMPORTRANGE(""https://docs.google.com/spreadsheets/d/1SX6NBoVAgQJ6U1MVXOaj8PK2l7WJ3RER9xtqwdhxkhw/edit#gid=346597447"",""นครปฐม!M563"")"),0)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IFERROR(__xludf.DUMMYFUNCTION("IMPORTRANGE(""https://docs.google.com/spreadsheets/d/1SX6NBoVAgQJ6U1MVXOaj8PK2l7WJ3RER9xtqwdhxkhw/edit#gid=346597447"",""นครปฐม!J564"")"),4)</f>
        <v>4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IFERROR(__xludf.DUMMYFUNCTION("IMPORTRANGE(""https://docs.google.com/spreadsheets/d/1SX6NBoVAgQJ6U1MVXOaj8PK2l7WJ3RER9xtqwdhxkhw/edit#gid=346597447"",""นครปฐม!J565"")"),23.74)</f>
        <v>23.74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IFERROR(__xludf.DUMMYFUNCTION("IMPORTRANGE(""https://docs.google.com/spreadsheets/d/1SX6NBoVAgQJ6U1MVXOaj8PK2l7WJ3RER9xtqwdhxkhw/edit#gid=346597447"",""นครปฐม!I566"")"),0)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IFERROR(__xludf.DUMMYFUNCTION("IMPORTRANGE(""https://docs.google.com/spreadsheets/d/1SX6NBoVAgQJ6U1MVXOaj8PK2l7WJ3RER9xtqwdhxkhw/edit#gid=346597447"",""นครปฐม!L566"")"),0)</f>
        <v>0</v>
      </c>
      <c r="M671" s="521"/>
      <c r="N671" s="538">
        <f ca="1">IFERROR(__xludf.DUMMYFUNCTION("IMPORTRANGE(""https://docs.google.com/spreadsheets/d/1SX6NBoVAgQJ6U1MVXOaj8PK2l7WJ3RER9xtqwdhxkhw/edit#gid=346597447"",""นครปฐม!M566"")"),0)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IFERROR(__xludf.DUMMYFUNCTION("IMPORTRANGE(""https://docs.google.com/spreadsheets/d/1SX6NBoVAgQJ6U1MVXOaj8PK2l7WJ3RER9xtqwdhxkhw/edit#gid=346597447"",""นครปฐม!J567"")"),0)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IFERROR(__xludf.DUMMYFUNCTION("IMPORTRANGE(""https://docs.google.com/spreadsheets/d/1SX6NBoVAgQJ6U1MVXOaj8PK2l7WJ3RER9xtqwdhxkhw/edit#gid=346597447"",""นครปฐม!J568"")"),0)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IFERROR(__xludf.DUMMYFUNCTION("IMPORTRANGE(""https://docs.google.com/spreadsheets/d/1SX6NBoVAgQJ6U1MVXOaj8PK2l7WJ3RER9xtqwdhxkhw/edit#gid=346597447"",""นครปฐม!J569"")"),0)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IFERROR(__xludf.DUMMYFUNCTION("IMPORTRANGE(""https://docs.google.com/spreadsheets/d/1SX6NBoVAgQJ6U1MVXOaj8PK2l7WJ3RER9xtqwdhxkhw/edit#gid=346597447"",""นครปฐม!J570"")"),0)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IFERROR(__xludf.DUMMYFUNCTION("IMPORTRANGE(""https://docs.google.com/spreadsheets/d/1SX6NBoVAgQJ6U1MVXOaj8PK2l7WJ3RER9xtqwdhxkhw/edit#gid=346597447"",""นครปฐม!J571"")"),0)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IFERROR(__xludf.DUMMYFUNCTION("IMPORTRANGE(""https://docs.google.com/spreadsheets/d/1SX6NBoVAgQJ6U1MVXOaj8PK2l7WJ3RER9xtqwdhxkhw/edit#gid=346597447"",""นครปฐม!J572"")"),0)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2022-05-18T09:44:42Z</cp:lastPrinted>
  <dcterms:modified xsi:type="dcterms:W3CDTF">2022-05-18T09:44:56Z</dcterms:modified>
</cp:coreProperties>
</file>